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8855" windowHeight="10545"/>
  </bookViews>
  <sheets>
    <sheet name="МОЙ ВАРИАНТ" sheetId="2" r:id="rId1"/>
  </sheets>
  <definedNames>
    <definedName name="_xlnm.Print_Titles" localSheetId="0">'МОЙ ВАРИАНТ'!$15:$15</definedName>
    <definedName name="_xlnm.Print_Area" localSheetId="0">'МОЙ ВАРИАНТ'!$A$7:$E$131</definedName>
  </definedNames>
  <calcPr calcId="152511"/>
</workbook>
</file>

<file path=xl/calcChain.xml><?xml version="1.0" encoding="utf-8"?>
<calcChain xmlns="http://schemas.openxmlformats.org/spreadsheetml/2006/main">
  <c r="E127" i="2"/>
  <c r="E129"/>
  <c r="E120" l="1"/>
  <c r="E119"/>
  <c r="E115"/>
  <c r="E62"/>
  <c r="E110"/>
  <c r="E106"/>
  <c r="E32"/>
  <c r="E30"/>
  <c r="E31"/>
  <c r="E28"/>
  <c r="E24"/>
  <c r="E23"/>
  <c r="E20"/>
  <c r="E18"/>
  <c r="E17"/>
  <c r="J24"/>
  <c r="E118" l="1"/>
  <c r="E109"/>
  <c r="E107"/>
  <c r="E103"/>
  <c r="E100"/>
  <c r="E97"/>
  <c r="E96"/>
  <c r="E95"/>
  <c r="E94"/>
  <c r="E93"/>
  <c r="E92"/>
  <c r="E91"/>
  <c r="E90"/>
  <c r="E89"/>
  <c r="E88"/>
  <c r="E87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29"/>
  <c r="E26"/>
  <c r="L24"/>
  <c r="E84" l="1"/>
  <c r="E83"/>
  <c r="E98"/>
  <c r="E117" s="1"/>
  <c r="E61"/>
  <c r="E123" l="1"/>
  <c r="E85"/>
  <c r="E116" s="1"/>
  <c r="E101"/>
  <c r="E124" s="1"/>
  <c r="E63"/>
  <c r="E112" s="1"/>
  <c r="E125" l="1"/>
  <c r="E126" s="1"/>
  <c r="E128" l="1"/>
</calcChain>
</file>

<file path=xl/comments1.xml><?xml version="1.0" encoding="utf-8"?>
<comments xmlns="http://schemas.openxmlformats.org/spreadsheetml/2006/main">
  <authors>
    <author>Сергей</author>
    <author>Алексей</author>
    <author>Alex Sosedko</author>
    <author>Alex</author>
  </authors>
  <commentList>
    <comment ref="A4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A7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A11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A12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D14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E14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A15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B15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C15" authorId="2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D15" author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</t>
        </r>
      </text>
    </comment>
    <comment ref="E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</commentList>
</comments>
</file>

<file path=xl/sharedStrings.xml><?xml version="1.0" encoding="utf-8"?>
<sst xmlns="http://schemas.openxmlformats.org/spreadsheetml/2006/main" count="324" uniqueCount="281">
  <si>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</si>
  <si>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</si>
  <si>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</si>
  <si>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</si>
  <si>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 
руб.</t>
  </si>
  <si>
    <t>Раздел 1. Полевые работы</t>
  </si>
  <si>
    <t xml:space="preserve">СБЦ "Инженерно-геологические и инженерно-экологические изыскания для строительства (1999)" табл.17 п.1-4
(СБЦ103-17-1-4) </t>
  </si>
  <si>
    <t xml:space="preserve"> </t>
  </si>
  <si>
    <t xml:space="preserve">СБЦ "Инженерно-геологические и инженерно-экологические изыскания для строительства (1999)" табл.57 п.2-1
(СБЦ103-57-2-1) </t>
  </si>
  <si>
    <t xml:space="preserve">СБЦ "Инженерно-геологические и инженерно-экологические изыскания для строительства (1999)" табл.40 п.3-1
(СБЦ103-40-3-1) </t>
  </si>
  <si>
    <t>Раздел 2. Лабораторные работы</t>
  </si>
  <si>
    <t>Раздел 3. Камеральные работы</t>
  </si>
  <si>
    <t xml:space="preserve">СБЦ "Инженерно-геологические и инженерно-экологические изыскания для строительства (1999)" табл.81 п.3-1
(СБЦ103-81-3-1) </t>
  </si>
  <si>
    <t>прим.1 для районов 2 категории сложности инженерно-геологических условий К=1,25;</t>
  </si>
  <si>
    <t>прим.2 при изысканиях под отдельно стоящее здание по графе исследуемой площади «до 1 км2» К=0,5;</t>
  </si>
  <si>
    <t xml:space="preserve">Камеральная обработка комплексных исследований и отдельных определений физико-механических свойств грунтов (пород): глинистых - 20% от стоимости лабораторных работ, 0() </t>
  </si>
  <si>
    <t xml:space="preserve">СБЦ "Инженерно-геологические и инженерно-экологические изыскания для строительства (1999)" табл.86 п.1
(СБЦ103-86-1) </t>
  </si>
  <si>
    <t>Таб.86 прим Коэффициент учитывающий иследование мерзлых грунтов К=1,5;</t>
  </si>
  <si>
    <t>ВСЕГО по смете</t>
  </si>
  <si>
    <t xml:space="preserve">   Итоги по позициям, введенным в базисных ценах</t>
  </si>
  <si>
    <t xml:space="preserve">      Итого</t>
  </si>
  <si>
    <t xml:space="preserve">   ВСЕГО по смете</t>
  </si>
  <si>
    <t xml:space="preserve">                                          к Договору</t>
  </si>
  <si>
    <t>СОГЛАСОВАНО:</t>
  </si>
  <si>
    <t>УТВЕРЖДАЮ:</t>
  </si>
  <si>
    <t xml:space="preserve">Ректор ФГАОУ ВО «Сибирский федеральный университет»  </t>
  </si>
  <si>
    <t>Генеральный директор ООО "УК "Город"</t>
  </si>
  <si>
    <t xml:space="preserve">__________________Румянцев М. В. </t>
  </si>
  <si>
    <t>_____________________Л.И. Шевель</t>
  </si>
  <si>
    <t>Приложение № 4.17</t>
  </si>
  <si>
    <t xml:space="preserve">на Выполнение комплекса работ по инженерно-геологическим изысканиям, по адресу: </t>
  </si>
  <si>
    <t>НДС 20%</t>
  </si>
  <si>
    <t>Коэффициент, учитывающий дополнительные затраты организаций по выплате заработной платы при выполнении изысканий в районах РФ где установлены рк и сн</t>
  </si>
  <si>
    <t>Расходы на организацию и ликвидацию работ - 6%</t>
  </si>
  <si>
    <t>СБЦ "Инженерно-геологические и инженерно-экологические изыскания для строительства (1999)" ОУ п.13, прим.1 К=2,5</t>
  </si>
  <si>
    <t>(800)*1,25*0,5</t>
  </si>
  <si>
    <t>СБЦ "Инженерно-геологические и инженерно-экологические изыскания для строительства (1999)" ОУ п.8д. т.3-10 К=1,4 ; п.8е К=1,5 . Кобщ=1+(0,4+0,5)=1,9</t>
  </si>
  <si>
    <t>СБЦ "Инженерно-геологические и инженерно-экологические изыскания для строительства (1999)"ОУ п.8д. т.3-10 К=1,4 ; п.8е К=1,5 . Кобщ=1+(0,4+0,5)=1,9</t>
  </si>
  <si>
    <t xml:space="preserve">Составление программы производства работ, средняя глубина исследования: 10-15м, исследуемая площадь до 1км2, (1 программа) </t>
  </si>
  <si>
    <t>Инженерно-геологическая, гидрогеологическая рекогносцировка при проходимости:хорошей, категория сложности III, полевые работы, 0,2 (1 км маршрута)</t>
  </si>
  <si>
    <t xml:space="preserve">СБЦ "Инженерно-геологические и инженерно-экологические изыскания для строительства (1999)" табл.9 п.1-3-1
(СБЦ103-9-1-3-1) </t>
  </si>
  <si>
    <t>Инженерно-геологическая, гидрогеологическая рекогносцировка при проходимости:хорошей, категория сложности III, камеральные работы, 0,2 (1 км маршрута)</t>
  </si>
  <si>
    <t xml:space="preserve">СБЦ "Инженерно-геологические и инженерно-экологические изыскания для строительства (1999)" табл.17 п.1-5
(СБЦ103-17-1-5) </t>
  </si>
  <si>
    <t xml:space="preserve">СБЦ "Инженерно-геологические и инженерно-экологические изыскания для строительства (1999)" табл.17 п.1-10
(СБЦ103-17-1-10) </t>
  </si>
  <si>
    <t xml:space="preserve">СБЦ "Инженерно-геологические и инженерно-экологические изыскания для строительства (1999)" табл.85 п.3
(СБЦ103-85-3) </t>
  </si>
  <si>
    <t xml:space="preserve">СБЦ "Инженерно-геологические и инженерно-экологические изыскания для строительства (1999)" табл.93 п.1-2
(СБЦ103-93-1-2) </t>
  </si>
  <si>
    <t>СБЦ "Инженерно-геологические и инженерно-экологические изыскания для строительства (1999)" ОУ п.9, т.4-1-1</t>
  </si>
  <si>
    <t xml:space="preserve">         Итого Поз. 1-11</t>
  </si>
  <si>
    <t>Глинистые грунты</t>
  </si>
  <si>
    <t xml:space="preserve">СБЦ "Инженерно-геологические и инженерно-экологические изыскания для строительства (1999)" табл.62 п.1
</t>
  </si>
  <si>
    <t xml:space="preserve">СБЦ "Инженерно-геологические и инженерно-экологические изыскания для строительства (1999)" табл.62 п.2
</t>
  </si>
  <si>
    <t>СБЦ "Инженерно-геологические и инженерно-экологические изыскания для строительства (1999)" табл.62 п.4</t>
  </si>
  <si>
    <t>СБЦ "Инженерно-геологические и инженерно-экологические изыскания для строительства (1999)" табл.70 п.12</t>
  </si>
  <si>
    <t>СБЦ "Инженерно-геологические и инженерно-экологические изыскания для строительства (1999)" табл.63 п.3 искл. табл.62 п.1</t>
  </si>
  <si>
    <t>СБЦ "Инженерно-геологические и инженерно-экологические изыскания для строительства (1999)" табл.62 п.21</t>
  </si>
  <si>
    <t>СБЦ "Инженерно-геологические и инженерно-экологические изыскания для строительства (1999)" табл.70 п.83</t>
  </si>
  <si>
    <t>СБЦ "Инженерно-геологические и инженерно-экологические изыскания для строительства (1999)" табл.71 п.3</t>
  </si>
  <si>
    <t>СБЦ "Инженерно-геологические и инженерно-экологические изыскания для строительства (1999)" табл.70 п.13</t>
  </si>
  <si>
    <t>СБЦ "Инженерно-геологические и инженерно-экологические изыскания для строительства (1999)" табл.75 п.4</t>
  </si>
  <si>
    <t>СБЦ "Инженерно-геологические и инженерно-экологические изыскания для строительства (1999)" табл.75 п.5 добав. табл.70 п.83</t>
  </si>
  <si>
    <t xml:space="preserve">СБЦ "Инженерно-геологические и инженерно-экологические изыскания для строительства (1999)" табл.63 п.32, искл. табл.63 п.8, п.2, добав.табл.63 п.1 </t>
  </si>
  <si>
    <t>СБЦ "Инженерно-геологические и инженерно-экологические изыскания для строительства (1999)" табл.63 п.31, искл. табл.63 п.8, п.2, добав.табл.63 п.1, табл. 62 п.28</t>
  </si>
  <si>
    <t>СБЦ "Инженерно-геологические и инженерно-экологические изыскания для строительства (1999)"  табл.63 п.36, искл. табл.63 п.8, п.2, добав.табл.63 п.1</t>
  </si>
  <si>
    <t>СБЦ "Инженерно-геологические и инженерно-экологические изыскания для строительства (1999)" табл.63 п.5, искл. табл.63 п.2</t>
  </si>
  <si>
    <t>СБЦ "Инженерно-геологические и инженерно-экологические изыскания для строительства (1999)" табл.63 п.11, искл. табл.63 п.8, добав.табл.62 п.27</t>
  </si>
  <si>
    <t>СБЦ "Инженерно-геологические и инженерно-экологические изыскания для строительства (1999)" табл.63 п.17, искл. табл.63 п.8</t>
  </si>
  <si>
    <t>Песчаные грунты</t>
  </si>
  <si>
    <t>СБЦ "Инженерно-геологические и инженерно-экологические изыскания для строительства (1999)" табл.64 п.3</t>
  </si>
  <si>
    <t xml:space="preserve">СБЦ "Инженерно-геологические и инженерно-экологические изыскания для строительства (1999)" табл.64 п.2
</t>
  </si>
  <si>
    <t>СБЦ "Инженерно-геологические и инженерно-экологические изыскания для строительства (1999)" табл.62 п.5</t>
  </si>
  <si>
    <t>СБЦ "Инженерно-геологические и инженерно-экологические изыскания для строительства (1999)" табл.64 п.8</t>
  </si>
  <si>
    <t>СБЦ "Инженерно-геологические и инженерно-экологические изыскания для строительства (1999)"  табл.65 п.17, искл. табл.64 п.2, п.3, п.8, табл.62 п.5</t>
  </si>
  <si>
    <t>СБЦ "Инженерно-геологические и инженерно-экологические изыскания для строительства (1999)" табл.65 п.13, искл. табл.64 п.2, п.3, п.8, табл.62 п.5</t>
  </si>
  <si>
    <t>СБЦ "Инженерно-геологические и инженерно-экологические изыскания для строительства (1999)" табл.65 п.12, искл. табл.64 п.2, п.3, п.8, табл.62 п.5, добав. табл.64 п.15</t>
  </si>
  <si>
    <t>Скальные грунты</t>
  </si>
  <si>
    <t xml:space="preserve">СБЦ "Инженерно-геологические и инженерно-экологические изыскания для строительства (1999)" табл.64 п.1
</t>
  </si>
  <si>
    <t xml:space="preserve">СБЦ "Инженерно-геологические и инженерно-экологические изыскания для строительства (1999)" табл.67 п.1
</t>
  </si>
  <si>
    <t>2,5*6</t>
  </si>
  <si>
    <t xml:space="preserve">СБЦ "Инженерно-геологические и инженерно-экологические изыскания для строительства (1999)" табл.67 п.2
</t>
  </si>
  <si>
    <t xml:space="preserve">СБЦ "Инженерно-геологические и инженерно-экологические изыскания для строительства (1999)" табл.67 п.4
</t>
  </si>
  <si>
    <t>7,2*6</t>
  </si>
  <si>
    <t xml:space="preserve">СБЦ "Инженерно-геологические и инженерно-экологические изыскания для строительства (1999)" табл.67 п.11
</t>
  </si>
  <si>
    <t>1,8*12</t>
  </si>
  <si>
    <t xml:space="preserve">СБЦ "Инженерно-геологические и инженерно-экологические изыскания для строительства (1999)" табл.67 п.7
</t>
  </si>
  <si>
    <t xml:space="preserve">СБЦ "Инженерно-геологические и инженерно-экологические изыскания для строительства (1999)" табл.67 п.10
</t>
  </si>
  <si>
    <t xml:space="preserve">СБЦ "Инженерно-геологические и инженерно-экологические изыскания для строительства (1999)" табл.67 п.9
</t>
  </si>
  <si>
    <t>Вспомогательные работы</t>
  </si>
  <si>
    <t>Содержание морозильной камеры для производства лабораторных испытаний мерзлых грунтов, 1/1,5 (камера/месяц)</t>
  </si>
  <si>
    <t>СБЦ "Инженерно-геологические и инженерно-экологические изыскания для строительства (1999)" табл.100 п.21</t>
  </si>
  <si>
    <t>382*1,5</t>
  </si>
  <si>
    <t>Итого скальные грунты (п.44-54)</t>
  </si>
  <si>
    <t>Камеральная обработка термометрических наблюдений и наблюдений за глубиной сезонного промерзания (протаивания)
грунтов, 9 (10 замеров)</t>
  </si>
  <si>
    <t>8*9</t>
  </si>
  <si>
    <t>14.2</t>
  </si>
  <si>
    <t>14.1</t>
  </si>
  <si>
    <t>15.1</t>
  </si>
  <si>
    <t>15.2</t>
  </si>
  <si>
    <t>16.1</t>
  </si>
  <si>
    <t>16.2</t>
  </si>
  <si>
    <t>17.1</t>
  </si>
  <si>
    <t>17.2</t>
  </si>
  <si>
    <t>18.1</t>
  </si>
  <si>
    <t>18.2</t>
  </si>
  <si>
    <t>20.1</t>
  </si>
  <si>
    <t>20.2</t>
  </si>
  <si>
    <t>21.1</t>
  </si>
  <si>
    <t>21.2</t>
  </si>
  <si>
    <t>Итого глинистые грунты (п.12-30), в том числе</t>
  </si>
  <si>
    <t>талые</t>
  </si>
  <si>
    <t>мерзлые</t>
  </si>
  <si>
    <t>34.1</t>
  </si>
  <si>
    <t>34.2</t>
  </si>
  <si>
    <t>35.1</t>
  </si>
  <si>
    <t>35.2</t>
  </si>
  <si>
    <t>36.1</t>
  </si>
  <si>
    <t>36.2</t>
  </si>
  <si>
    <t>38.1</t>
  </si>
  <si>
    <t>38.2</t>
  </si>
  <si>
    <t>39.1</t>
  </si>
  <si>
    <t>39.2</t>
  </si>
  <si>
    <t>Итого песчаные грунты (п.31-43), в том числе</t>
  </si>
  <si>
    <t xml:space="preserve">СБЦ "Инженерно-геологические и инженерно-экологические изыскания для строительства (1999)" табл.82 п.1-3
(СБЦ103-82-1-3) </t>
  </si>
  <si>
    <t>9,4*(32+23,1+0,4+8,7)</t>
  </si>
  <si>
    <t xml:space="preserve">Камеральная обработка материалов буровых и горнопроходческих работ: категория сложности инженерно-геологических условий 3, 64,2 (1м выработки) </t>
  </si>
  <si>
    <t>60.1</t>
  </si>
  <si>
    <t>60.2</t>
  </si>
  <si>
    <t>61.1</t>
  </si>
  <si>
    <t>61.2</t>
  </si>
  <si>
    <t>Камеральная обработка комплексных исследований и отдельных определений физико-механических свойств грунтов (пород): песчаных - 15% от стоимости лабораторных работ</t>
  </si>
  <si>
    <t xml:space="preserve">СБЦ "Инженерно-геологические и инженерно-экологические изыскания для строительства (1999)" табл.86 п.2
(СБЦ103-86-2) </t>
  </si>
  <si>
    <t>СБЦ "Инженерно-геологические и инженерно-экологические изыскания для строительства (1999)" табл.86 п.2
(СБЦ103-86-2)                                                    Таб.86 прим Коэффициент учитывающий иследование мерзлых грунтов К=1,5;</t>
  </si>
  <si>
    <t>Камеральная обработка комплексных исследований и отдельных определений физико-механических свойств грунтов (пород): скальных и полускальных - 10% от стоимости лабораторных работ</t>
  </si>
  <si>
    <t>СБЦ "Инженерно-геологические и инженерно-экологические изыскания для строительства (1999)" табл.86 п.3
(СБЦ103-86-3)                                                    Таб.86 прим Коэффициент учитывающий иследование мерзлых грунтов К=1,5;</t>
  </si>
  <si>
    <t xml:space="preserve">Составление технического отчета (заключения) о результатах выполненных работ, категория сложности инженерно-геологических условий 3, при стоимости камеральных работ: св. 5 до 20 тыс. руб. - 22%, (1 отчет) </t>
  </si>
  <si>
    <t xml:space="preserve">СБЦ "Инженерно-геологические и инженерно-экологические изыскания для строительства (1999)" табл.87 п.2-3
(СБЦ103-87-2-3) </t>
  </si>
  <si>
    <t xml:space="preserve">         Итого Поз. 12-56</t>
  </si>
  <si>
    <t xml:space="preserve">         Итого Поз. 57-64</t>
  </si>
  <si>
    <t>8 скважин по 18 м</t>
  </si>
  <si>
    <t>из них 2 внутри</t>
  </si>
  <si>
    <t xml:space="preserve">Колонковое бурение скважины диаметром до 160мм, глубиной до 15м: категория породы 4, 72(м) </t>
  </si>
  <si>
    <t xml:space="preserve">Колонковое бурение скважины диаметром до 160мм, глубиной до 15м: категория породы 5, 56(м) </t>
  </si>
  <si>
    <t xml:space="preserve">Колонковое бурение скважины диаметром до 160мм, глубиной до 15м: категория породы 10, 16 (м) </t>
  </si>
  <si>
    <t xml:space="preserve">Отбор монолитов из буровых скважин (связные грунты) с глубины св. 10 до 20м, 40(1 монолит) </t>
  </si>
  <si>
    <t>30,1*140</t>
  </si>
  <si>
    <t xml:space="preserve">Стационарные наблюдения в скважинах за температурой пород с частотой: 1 раз в месяц, условия проходимости хорошие, 140 (точка/мес.) </t>
  </si>
  <si>
    <t>Плановая и высотная привязка при расстоянии между геологическими выработками или точками, м: 50, 8 (1 выработка (точка))</t>
  </si>
  <si>
    <t>4*12</t>
  </si>
  <si>
    <t xml:space="preserve">Влажность, 12 (1 образец) </t>
  </si>
  <si>
    <t xml:space="preserve">Суммарная влажность грунтов в мерзлом состоянии, 72 (1 образец) </t>
  </si>
  <si>
    <t>7,1*72</t>
  </si>
  <si>
    <t xml:space="preserve">Плотность влажного грунта методом режущего кольца (талые), 4 (1 образец) </t>
  </si>
  <si>
    <t>4,5*4</t>
  </si>
  <si>
    <t xml:space="preserve">Плотность влажного грунта методом режущего кольца (мерзлые), 48 (1 образец) </t>
  </si>
  <si>
    <t>4,5*48</t>
  </si>
  <si>
    <t xml:space="preserve">Гигроскопическая влажность (талые), 6 (1 образец) </t>
  </si>
  <si>
    <t xml:space="preserve">Гигроскопическая влажность (мерзлые), 52 (1 образец) </t>
  </si>
  <si>
    <t>2,5*52</t>
  </si>
  <si>
    <t>(24270,9+9130,5+403,2+573)*0,9</t>
  </si>
  <si>
    <t>1404,7*0,2</t>
  </si>
  <si>
    <t>22866,2*0,2*1,5</t>
  </si>
  <si>
    <t>210*0,15</t>
  </si>
  <si>
    <t>8920,5*0,15*1,5</t>
  </si>
  <si>
    <t>403,2*0,1*1,5</t>
  </si>
  <si>
    <t xml:space="preserve">Плотность частиц грунта пикнометрическим методом (талые), 6 (1 образец) </t>
  </si>
  <si>
    <t>(18,2-4)*6</t>
  </si>
  <si>
    <t xml:space="preserve">Консистенция при нарушенной структуре (границы текучести и раскатывания (консистенция)) (талые), 6 (1 образец) </t>
  </si>
  <si>
    <t>19,6*6</t>
  </si>
  <si>
    <t xml:space="preserve">Гранулометрический анализ ситовым методом и методом ареометра с разделением на фракции 10-0,5 мм (талые), 6 (1 образец) </t>
  </si>
  <si>
    <t>19,1*6</t>
  </si>
  <si>
    <t xml:space="preserve">Сокращенный анализ водной вытяжки (засоленость грунта) (талые), 6 (1 образец) </t>
  </si>
  <si>
    <t>18,2*6</t>
  </si>
  <si>
    <t xml:space="preserve">Коррозионная активность грунтов по отношению к стали, 6 (1 образец) </t>
  </si>
  <si>
    <t xml:space="preserve">Коррозионная активность грунтов по отношению к бетону, 6 (1 образец) </t>
  </si>
  <si>
    <t>(25,4+3,8)*6</t>
  </si>
  <si>
    <t>7,2*52</t>
  </si>
  <si>
    <t xml:space="preserve">Плотность частиц грунта пикнометрическим методом (мерзлые), 52 (1 образец) </t>
  </si>
  <si>
    <t>(18,2-4)*52</t>
  </si>
  <si>
    <t xml:space="preserve">Консистенция при нарушенной структуре (границы текучести и раскатывания (консистенция)) (мерзлые), 52 (1 образец) </t>
  </si>
  <si>
    <t>19,6*52</t>
  </si>
  <si>
    <t xml:space="preserve">Гранулометрический анализ ситовым методом и методом ареометра с разделением на фракции 10-0,5 мм (мерзлые), 52 (1 образец) </t>
  </si>
  <si>
    <t>3,8*60</t>
  </si>
  <si>
    <t xml:space="preserve">Приготовление водной вытяжки, 60 (1 образец) </t>
  </si>
  <si>
    <t>19,1*52</t>
  </si>
  <si>
    <t xml:space="preserve">Сокращенный анализ водной вытяжки (засоленость грунта) (мерзлые), 52 (1 образец) </t>
  </si>
  <si>
    <t>2,2*6</t>
  </si>
  <si>
    <t xml:space="preserve">Потери при прокаливании при температурах 800-1000°С (талые), 6 (1 образец) </t>
  </si>
  <si>
    <t>2,2*52</t>
  </si>
  <si>
    <t xml:space="preserve">Потери при прокаливании при температурах 800-1000°С (мерзлые), 52 (1 образец) </t>
  </si>
  <si>
    <t>(186,4-47,1-12,8+9,7)*20</t>
  </si>
  <si>
    <t>((263,6-47,1-12,8+9,7)+38,2)*20</t>
  </si>
  <si>
    <t xml:space="preserve">Комплекс физико-механических свойств мерзлого грунта при консолидированном срезе по поверхности смерзания с нагрузкой до 0,6 Мпа (Срез по поверхности смерзания), 20 (1 образец) </t>
  </si>
  <si>
    <t xml:space="preserve">Комплекс физико-механических свойств мерзлого грунта. Показатели сжимаемости и сопутствующие определения при компрессионных испытаниях (при оттаивании)  с нагрузкой до 0,6 Мпа, 20 (1 образец) </t>
  </si>
  <si>
    <t xml:space="preserve">Комплекс физико-механических свойств мерзлого грунта. Показатели сжимаемости и сопутствующие определения при компрессионных испытаниях  с нагрузкой до 0,6 Мпа, 20 (1 образец) </t>
  </si>
  <si>
    <t>(152,8-47,1-12,8+9,7)*35</t>
  </si>
  <si>
    <t xml:space="preserve">Комплекс физико-механических свойств мерзлых грунтов с определением предельнодлительного сцепления
методом шарикового штампа (Определение предельно-длительного значения эквивалентного сцепления), 35 (1 образец) </t>
  </si>
  <si>
    <t>(77,2-12,8)*65</t>
  </si>
  <si>
    <t xml:space="preserve">Испытание прочности мёрзлых грунтов в ускоренном режиме (шариковый штамп), 65 (1 образец) </t>
  </si>
  <si>
    <t>((135-47,1)+14,4)*5</t>
  </si>
  <si>
    <t xml:space="preserve">Сокращенный комплекс физико-механических свойств грунта при консолидированном срезе с нагрузкой до 0,6 Мпа, 5 (1 образец) </t>
  </si>
  <si>
    <t>(101,9-47,1)*8</t>
  </si>
  <si>
    <t xml:space="preserve">Сокращенный комплекс физико-механических
свойств грунта. Показатели сжимаемости и сопутствующие определения при компрессионных испытаниях по одной ветви с нагрузкой до 0,6 МПа (или определение просадочности), 8 (1 образец) </t>
  </si>
  <si>
    <t>1,9*5</t>
  </si>
  <si>
    <t xml:space="preserve">Влажность, 5 (1 образец) </t>
  </si>
  <si>
    <t>2,5*5</t>
  </si>
  <si>
    <t xml:space="preserve">Гигроскопическая влажность (талые), 5 (1 образец) </t>
  </si>
  <si>
    <t>7,2*5</t>
  </si>
  <si>
    <t xml:space="preserve">Плотность частиц грунта пикнометрическим методом (талые), 5 (1 образец) </t>
  </si>
  <si>
    <t>9,1*5</t>
  </si>
  <si>
    <t xml:space="preserve">Гранулометрический анализ ситовым методом с разделением на фракции от 10 до 0,1 мм без кипячения и промывки (талые), 5 (1 образец) </t>
  </si>
  <si>
    <t>19,1*5</t>
  </si>
  <si>
    <t xml:space="preserve">Сокращенный анализ водной вытяжки (засоленость грунта) (талые), 5 (1 образец) </t>
  </si>
  <si>
    <t>2,2*5</t>
  </si>
  <si>
    <t xml:space="preserve">Потери при прокаливании при температурах 800-1000°С (талые), 5 (1 образец) </t>
  </si>
  <si>
    <t>4,8*15</t>
  </si>
  <si>
    <t xml:space="preserve">Суммарная влажность грунтов в мерзлом состоянии, 15 (1 образец) </t>
  </si>
  <si>
    <t>2,9*15</t>
  </si>
  <si>
    <t xml:space="preserve">Плотность (мерзлого грунта методом режущего кольца), 15 (1 образец) </t>
  </si>
  <si>
    <t>2,5*15</t>
  </si>
  <si>
    <t xml:space="preserve">Гигроскопическая влажность (мерзлые), 15 (1 образец) </t>
  </si>
  <si>
    <t>7,2*15</t>
  </si>
  <si>
    <t xml:space="preserve">Плотность частиц грунта пикнометрическим методом (мерзлые), 15 (1 образец) </t>
  </si>
  <si>
    <t>9,1*15</t>
  </si>
  <si>
    <t>3,8*15</t>
  </si>
  <si>
    <t xml:space="preserve">Гранулометрический анализ ситовым методом с разделением на фракции от 10 до 0,1 мм без кипячения и промывки (мерзлые), 15 (1 образец) </t>
  </si>
  <si>
    <t xml:space="preserve">Приготовление водной вытяжки, 15 (1 образец) </t>
  </si>
  <si>
    <t>2,2*15</t>
  </si>
  <si>
    <t>19,1*15</t>
  </si>
  <si>
    <t xml:space="preserve">Сокращенный анализ водной вытяжки (засоленость грунта) (мерзлые), 15 (1 образец) </t>
  </si>
  <si>
    <t xml:space="preserve">Потери при прокаливании при температурах 800-1000°С (мерзлые), 15 (1 образец) </t>
  </si>
  <si>
    <t>(164,9-4,8-2,9-9,1-7,2)*10</t>
  </si>
  <si>
    <t xml:space="preserve">Комплекс физико-механических свойств
мерзлого грунта с
компрессионными испытаниями под нагрузкой
до 0,6 МПа, 10 (1 образец) </t>
  </si>
  <si>
    <t xml:space="preserve">Комплекс физико-механических свойств
мерзлого грунта с
компрессионными испытаниями под нагрузкой
до 0,6 МПа (при оттаивании), 10 (1 образец) </t>
  </si>
  <si>
    <t>(138,9-4,8-2,9-9,1-7,2)*25</t>
  </si>
  <si>
    <t xml:space="preserve">Комплекс физико-механических свойств мерзлых грунтов с определением предельнодлительного сцепления
методом шарикового штампа (Определение предельно-длительного значения эквивалентного сцепления), 25 (1 образец) </t>
  </si>
  <si>
    <t>(237,8-4,8-2,9-9,1+31,8-7,2)*10</t>
  </si>
  <si>
    <t xml:space="preserve">Комплекс физико-механических свойств
мерзлого грунта с определением сопротивления грунта срезу под нагрузкой до 0,6 МПа, 10 (1 образец) </t>
  </si>
  <si>
    <t>1,9*12</t>
  </si>
  <si>
    <t>2,5*12</t>
  </si>
  <si>
    <t xml:space="preserve">Гигроскопическая влажность, 12 (1 образец) </t>
  </si>
  <si>
    <t>6*12</t>
  </si>
  <si>
    <t xml:space="preserve">Плотность влажного грунта методом гидростатического взвешивания с парафинированием, 12 (1 образец) </t>
  </si>
  <si>
    <t>7,2*12</t>
  </si>
  <si>
    <t xml:space="preserve">Плотность частиц пикнометрическим методом, 12 (1 образец) </t>
  </si>
  <si>
    <t xml:space="preserve">Предел прочности при растяжении методом скола (в естественном состоянии), 12 (1 образец) </t>
  </si>
  <si>
    <t xml:space="preserve">Предел прочности при растяжении методом скола (в водонасыщенном состоянии), 12 (1 образец) </t>
  </si>
  <si>
    <t xml:space="preserve">Предел прочности при сжатии в воздушно-сухом состоянии, 12 (1 образец) </t>
  </si>
  <si>
    <t xml:space="preserve">Предел прочности при сжатии в водонасыщенном состоянии, 12 (1 образец) </t>
  </si>
  <si>
    <t>1,8*24</t>
  </si>
  <si>
    <t xml:space="preserve">Пористость,коэффициент пористости (расчетом), 24 (1 образец) </t>
  </si>
  <si>
    <t>1,3*24</t>
  </si>
  <si>
    <t xml:space="preserve">Разделка камня, изготовление образца неправильной формы, 24 (1 образец) </t>
  </si>
  <si>
    <t xml:space="preserve">Камеральная обработка полевого испытания грунтов динамическим или статическим зондированием с последующей корректировкой разреза по данным лабораторных работ, на глубину 15м, 36 (1 испытание) </t>
  </si>
  <si>
    <t xml:space="preserve">СБЦ "Инженерно-геологические и инженерно-экологические изыскания для строительства (1999)" табл.83 п.2
(СБЦ103-83-2) </t>
  </si>
  <si>
    <t>38,3*36</t>
  </si>
  <si>
    <t>(500+4,68+603,48+72+280,94+6859,86+31,5+2007,11+60,48+1378,8)*0,22</t>
  </si>
  <si>
    <t>Динамическое зондирование грунтов с количеством ударов молота на 10см погружения зонда св 18 до 24: глубина зондирования св. 15 до 20 м, 36 (1 испытание)</t>
  </si>
  <si>
    <t>СБЦ "Инженерно-геологические и инженерно-экологические изыскания для строительства (1999)" табл.45 п.4-3
(СБЦ103-45-4-3)                                                            к=1,5 - примечание 1 табл. 45 - при зондировании с разбуриванием</t>
  </si>
  <si>
    <t>168,6*1,5*36</t>
  </si>
  <si>
    <t>Расходы на внутренний транспорт при расстоянии от базы 
изыскательской организации, партии, отряда до участка изысканий  
до 5 км, при сметной стоимости полевых изыскательских работ св. 20 до  50
тыс. руб. ‐ 5 %</t>
  </si>
  <si>
    <t>(5,66+3283,2+2682,4+2332,8+1224+4214+68+9104,4)*0,05</t>
  </si>
  <si>
    <t>0,06*(5,66+3283,2+2682,4+2332,8+1224+4214+68+9104,4+1145,72)*2,5</t>
  </si>
  <si>
    <t>СМЕТА     №4</t>
  </si>
  <si>
    <t xml:space="preserve">   Всего c учетом 4 кв 2023 (ИЗ), Письмо Минстроя России от 28.11.2023 №73528-ИФ/09, прил.4 64,89</t>
  </si>
  <si>
    <t>Красноярский край, г. Норильск, пр.Ленинский ,13</t>
  </si>
  <si>
    <t>Предположительно 10 скважинпо 18м.п. на дом (1135м2 подполья):
1135/10=каждые 113,5м2 скважина. 
Ленинский, 13 (3990м2 подполье)=3990/113,5=35 скважин глубиной по 18м.п. на площадь 3990м2, получается 35*18=630м.п.</t>
  </si>
  <si>
    <t>28,3*0,63</t>
  </si>
  <si>
    <t>45,6*253</t>
  </si>
  <si>
    <t>47,9*197</t>
  </si>
  <si>
    <t>Предположительно 144 м.п. бурения на 1135м2:
144/1135=0,1269 на 1135м2
Ленинский, 13 (3990м2 подполье)=0,1269*3990=506м.п.бурения на 3990м2
Ранее было всего 144 м.п. бурения:
4 категория пород это 50% от 144=72м.п. (я ставлю 506м.п.*50%=253м.п.)
5 категория пород это 38,89 от 144=56м.п.( я ставлю 506 м.п.*38,89%=197 м.п.)
10 категория пород ставлю остаток от ощего м.п.=506-253-197=56м.п.</t>
  </si>
  <si>
    <t>145,8*56</t>
  </si>
  <si>
    <t>Отбор монолитов 40 на 144 м.п. бурения это примерно через каждые 4 м.п. берут отобор.
Я беру 506/4=127 проб</t>
  </si>
  <si>
    <t>30,6*127</t>
  </si>
  <si>
    <t xml:space="preserve">взяла свои 35 скважин </t>
  </si>
  <si>
    <t>8,5*35</t>
  </si>
  <si>
    <t>(5,66+3283,2+2682,4+2332,8+1224+4214+68+9104,4)*1,9</t>
  </si>
  <si>
    <t>Поставила к=1,9</t>
  </si>
  <si>
    <t xml:space="preserve">СБЦ "Инженерно-геологические и инженерно-экологические изыскания для строительства (1999)" табл.9 п.1-3-2
(СБЦ103-9-2-3-2) </t>
  </si>
  <si>
    <t>23,4*0,630</t>
  </si>
  <si>
    <t>(500+4,68+603,48+72+280,94+6859,86+31,5+2007,11+60,48+1378,8+2595,75)*1,9</t>
  </si>
  <si>
    <t>К=1,9 поставила</t>
  </si>
  <si>
    <t>Итого по расчету: 16 357 898,38 руб.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</si>
</sst>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2" fillId="0" borderId="1" applyBorder="0" applyAlignment="0">
      <alignment horizontal="center" wrapText="1"/>
    </xf>
    <xf numFmtId="0" fontId="1" fillId="0" borderId="0">
      <alignment horizontal="center"/>
    </xf>
    <xf numFmtId="0" fontId="1" fillId="0" borderId="0">
      <alignment horizontal="left" vertical="top"/>
    </xf>
    <xf numFmtId="164" fontId="18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4" applyFont="1" applyBorder="1">
      <alignment horizontal="center"/>
    </xf>
    <xf numFmtId="0" fontId="2" fillId="0" borderId="0" xfId="4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5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7" fillId="0" borderId="1" xfId="4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top" wrapText="1"/>
    </xf>
    <xf numFmtId="0" fontId="2" fillId="0" borderId="4" xfId="3" applyBorder="1">
      <alignment horizontal="center" wrapText="1"/>
    </xf>
    <xf numFmtId="0" fontId="2" fillId="0" borderId="5" xfId="3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2" fillId="0" borderId="4" xfId="5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right" vertical="top" wrapText="1"/>
    </xf>
    <xf numFmtId="0" fontId="13" fillId="0" borderId="6" xfId="0" applyFont="1" applyBorder="1" applyAlignment="1">
      <alignment vertical="top" wrapText="1"/>
    </xf>
    <xf numFmtId="0" fontId="14" fillId="0" borderId="6" xfId="5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6" xfId="0" applyNumberFormat="1" applyFont="1" applyBorder="1" applyAlignment="1">
      <alignment horizontal="right" vertical="top" wrapText="1"/>
    </xf>
    <xf numFmtId="0" fontId="4" fillId="0" borderId="4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Border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5" fillId="0" borderId="0" xfId="0" applyFont="1" applyFill="1"/>
    <xf numFmtId="0" fontId="8" fillId="0" borderId="0" xfId="4" applyFont="1" applyFill="1" applyBorder="1" applyAlignment="1">
      <alignment vertical="top"/>
    </xf>
    <xf numFmtId="0" fontId="8" fillId="0" borderId="0" xfId="4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0" xfId="4" applyFont="1" applyFill="1" applyAlignment="1">
      <alignment horizontal="left"/>
    </xf>
    <xf numFmtId="0" fontId="2" fillId="0" borderId="0" xfId="4" applyFont="1" applyFill="1" applyBorder="1" applyAlignment="1">
      <alignment horizontal="left" vertical="top" wrapText="1"/>
    </xf>
    <xf numFmtId="0" fontId="10" fillId="0" borderId="0" xfId="0" applyFont="1" applyFill="1"/>
    <xf numFmtId="2" fontId="2" fillId="0" borderId="4" xfId="0" applyNumberFormat="1" applyFont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 vertical="top" wrapText="1"/>
    </xf>
    <xf numFmtId="0" fontId="17" fillId="0" borderId="0" xfId="0" applyFont="1"/>
    <xf numFmtId="0" fontId="2" fillId="0" borderId="4" xfId="0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right" vertical="top" wrapText="1"/>
    </xf>
    <xf numFmtId="0" fontId="2" fillId="0" borderId="1" xfId="5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right" vertical="top" wrapText="1"/>
    </xf>
    <xf numFmtId="0" fontId="10" fillId="0" borderId="1" xfId="0" applyFont="1" applyBorder="1"/>
    <xf numFmtId="0" fontId="2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2" fontId="14" fillId="0" borderId="6" xfId="0" applyNumberFormat="1" applyFont="1" applyBorder="1" applyAlignment="1">
      <alignment horizontal="right" vertical="top" wrapText="1"/>
    </xf>
    <xf numFmtId="2" fontId="10" fillId="0" borderId="0" xfId="0" applyNumberFormat="1" applyFont="1"/>
    <xf numFmtId="4" fontId="4" fillId="0" borderId="1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164" fontId="2" fillId="0" borderId="4" xfId="6" applyFont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right" vertical="top" wrapText="1"/>
    </xf>
    <xf numFmtId="0" fontId="2" fillId="0" borderId="4" xfId="0" applyNumberFormat="1" applyFont="1" applyFill="1" applyBorder="1" applyAlignment="1">
      <alignment horizontal="right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6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6" fillId="0" borderId="0" xfId="4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4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</cellXfs>
  <cellStyles count="7">
    <cellStyle name="Итоги" xfId="1"/>
    <cellStyle name="ЛокСмета" xfId="2"/>
    <cellStyle name="Обычный" xfId="0" builtinId="0"/>
    <cellStyle name="ПИР" xfId="3"/>
    <cellStyle name="Титул" xfId="4"/>
    <cellStyle name="Финансовый" xfId="6" builtinId="3"/>
    <cellStyle name="Хвост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showGridLines="0" tabSelected="1" view="pageBreakPreview" topLeftCell="A7" zoomScaleNormal="80" zoomScaleSheetLayoutView="100" workbookViewId="0">
      <selection activeCell="A13" sqref="A13"/>
    </sheetView>
  </sheetViews>
  <sheetFormatPr defaultColWidth="8.85546875" defaultRowHeight="12.75" outlineLevelRow="1"/>
  <cols>
    <col min="1" max="1" width="5.7109375" style="24" customWidth="1"/>
    <col min="2" max="2" width="46.140625" style="24" customWidth="1"/>
    <col min="3" max="3" width="46.42578125" style="24" customWidth="1"/>
    <col min="4" max="4" width="25" style="24" customWidth="1"/>
    <col min="5" max="5" width="14.7109375" style="24" customWidth="1"/>
    <col min="6" max="6" width="15.5703125" style="24" customWidth="1"/>
    <col min="7" max="8" width="8.85546875" style="24"/>
    <col min="9" max="9" width="26.140625" style="24" customWidth="1"/>
    <col min="10" max="10" width="16" style="24" customWidth="1"/>
    <col min="11" max="16384" width="8.85546875" style="24"/>
  </cols>
  <sheetData>
    <row r="1" spans="1:8" hidden="1" outlineLevel="1">
      <c r="D1" s="27" t="s">
        <v>29</v>
      </c>
    </row>
    <row r="2" spans="1:8" ht="14.45" hidden="1" customHeight="1" outlineLevel="1">
      <c r="C2" s="25"/>
      <c r="D2" s="28" t="s">
        <v>22</v>
      </c>
    </row>
    <row r="3" spans="1:8" ht="18" hidden="1" customHeight="1" outlineLevel="1">
      <c r="A3" s="29" t="s">
        <v>23</v>
      </c>
      <c r="B3" s="29"/>
      <c r="C3" s="30"/>
      <c r="D3" s="29" t="s">
        <v>24</v>
      </c>
      <c r="E3" s="30"/>
    </row>
    <row r="4" spans="1:8" ht="17.25" hidden="1" customHeight="1" outlineLevel="1">
      <c r="A4" s="29" t="s">
        <v>25</v>
      </c>
      <c r="B4" s="29"/>
      <c r="C4" s="31"/>
      <c r="D4" s="29" t="s">
        <v>26</v>
      </c>
      <c r="E4" s="31"/>
    </row>
    <row r="5" spans="1:8" ht="3" hidden="1" customHeight="1" outlineLevel="1">
      <c r="A5" s="29"/>
      <c r="B5" s="29"/>
      <c r="C5" s="31"/>
      <c r="D5" s="29"/>
      <c r="E5" s="31"/>
    </row>
    <row r="6" spans="1:8" ht="17.25" hidden="1" customHeight="1" outlineLevel="1">
      <c r="A6" s="29" t="s">
        <v>27</v>
      </c>
      <c r="B6" s="29"/>
      <c r="C6" s="31"/>
      <c r="D6" s="29" t="s">
        <v>28</v>
      </c>
      <c r="E6" s="31"/>
    </row>
    <row r="7" spans="1:8" ht="23.25" customHeight="1" collapsed="1">
      <c r="A7" s="64" t="s">
        <v>261</v>
      </c>
      <c r="B7" s="64"/>
      <c r="C7" s="64"/>
      <c r="D7" s="64"/>
      <c r="E7" s="64"/>
    </row>
    <row r="8" spans="1:8" ht="6.75" customHeight="1">
      <c r="A8" s="32"/>
      <c r="B8" s="32"/>
      <c r="C8" s="32"/>
      <c r="D8" s="32"/>
      <c r="E8" s="32"/>
    </row>
    <row r="9" spans="1:8" s="35" customFormat="1">
      <c r="A9" s="65" t="s">
        <v>30</v>
      </c>
      <c r="B9" s="65"/>
      <c r="C9" s="65"/>
      <c r="D9" s="65"/>
      <c r="E9" s="65"/>
    </row>
    <row r="10" spans="1:8" ht="6.75" customHeight="1">
      <c r="A10" s="26"/>
      <c r="B10" s="26"/>
      <c r="C10" s="26"/>
      <c r="D10" s="26"/>
      <c r="E10" s="26"/>
    </row>
    <row r="11" spans="1:8" ht="16.899999999999999" customHeight="1">
      <c r="A11" s="66" t="s">
        <v>263</v>
      </c>
      <c r="B11" s="66"/>
      <c r="C11" s="66"/>
      <c r="D11" s="66"/>
      <c r="E11" s="66"/>
    </row>
    <row r="12" spans="1:8" s="35" customFormat="1" ht="15" customHeight="1" outlineLevel="1">
      <c r="A12" s="33" t="s">
        <v>280</v>
      </c>
      <c r="B12" s="34"/>
      <c r="C12" s="34"/>
      <c r="D12" s="34"/>
      <c r="E12" s="34"/>
    </row>
    <row r="13" spans="1:8">
      <c r="A13" s="2"/>
      <c r="B13" s="2"/>
      <c r="C13" s="3"/>
      <c r="D13" s="3"/>
      <c r="E13" s="4"/>
    </row>
    <row r="14" spans="1:8" ht="79.900000000000006" customHeight="1">
      <c r="A14" s="5" t="s">
        <v>0</v>
      </c>
      <c r="B14" s="6" t="s">
        <v>1</v>
      </c>
      <c r="C14" s="6" t="s">
        <v>2</v>
      </c>
      <c r="D14" s="10" t="s">
        <v>3</v>
      </c>
      <c r="E14" s="10" t="s">
        <v>4</v>
      </c>
      <c r="H14" s="24" t="s">
        <v>137</v>
      </c>
    </row>
    <row r="15" spans="1:8">
      <c r="A15" s="12">
        <v>1</v>
      </c>
      <c r="B15" s="13">
        <v>2</v>
      </c>
      <c r="C15" s="13">
        <v>3</v>
      </c>
      <c r="D15" s="12">
        <v>4</v>
      </c>
      <c r="E15" s="12">
        <v>5</v>
      </c>
      <c r="H15" s="24" t="s">
        <v>138</v>
      </c>
    </row>
    <row r="16" spans="1:8" ht="21" customHeight="1">
      <c r="A16" s="62" t="s">
        <v>5</v>
      </c>
      <c r="B16" s="63"/>
      <c r="C16" s="63"/>
      <c r="D16" s="63"/>
      <c r="E16" s="63"/>
    </row>
    <row r="17" spans="1:12" ht="66" customHeight="1">
      <c r="A17" s="39">
        <v>1</v>
      </c>
      <c r="B17" s="50" t="s">
        <v>39</v>
      </c>
      <c r="C17" s="15" t="s">
        <v>40</v>
      </c>
      <c r="D17" s="57" t="s">
        <v>265</v>
      </c>
      <c r="E17" s="59">
        <f>28.3*0.63</f>
        <v>17.829000000000001</v>
      </c>
      <c r="F17" s="74" t="s">
        <v>264</v>
      </c>
      <c r="G17" s="74"/>
      <c r="H17" s="74"/>
      <c r="I17" s="74"/>
    </row>
    <row r="18" spans="1:12" ht="58.5" customHeight="1">
      <c r="A18" s="14">
        <v>2</v>
      </c>
      <c r="B18" s="67" t="s">
        <v>139</v>
      </c>
      <c r="C18" s="15" t="s">
        <v>6</v>
      </c>
      <c r="D18" s="57" t="s">
        <v>266</v>
      </c>
      <c r="E18" s="59">
        <f>45.6*253</f>
        <v>11536.800000000001</v>
      </c>
      <c r="F18" s="74" t="s">
        <v>268</v>
      </c>
      <c r="G18" s="74"/>
      <c r="H18" s="74"/>
      <c r="I18" s="74"/>
    </row>
    <row r="19" spans="1:12" outlineLevel="1">
      <c r="A19" s="18"/>
      <c r="B19" s="68"/>
      <c r="C19" s="19"/>
      <c r="D19" s="60"/>
      <c r="E19" s="61"/>
      <c r="F19" s="74"/>
      <c r="G19" s="74"/>
      <c r="H19" s="74"/>
      <c r="I19" s="74"/>
    </row>
    <row r="20" spans="1:12" ht="54.75" customHeight="1" outlineLevel="1">
      <c r="A20" s="14">
        <v>3</v>
      </c>
      <c r="B20" s="15" t="s">
        <v>140</v>
      </c>
      <c r="C20" s="15" t="s">
        <v>42</v>
      </c>
      <c r="D20" s="57" t="s">
        <v>267</v>
      </c>
      <c r="E20" s="59">
        <f>47.9*197</f>
        <v>9436.2999999999993</v>
      </c>
      <c r="F20" s="74"/>
      <c r="G20" s="74"/>
      <c r="H20" s="74"/>
      <c r="I20" s="74"/>
    </row>
    <row r="21" spans="1:12" ht="8.25" customHeight="1">
      <c r="A21" s="14"/>
      <c r="B21" s="67"/>
      <c r="C21" s="15"/>
      <c r="D21" s="57"/>
      <c r="E21" s="59"/>
      <c r="F21" s="74"/>
      <c r="G21" s="74"/>
      <c r="H21" s="74"/>
      <c r="I21" s="74"/>
    </row>
    <row r="22" spans="1:12" ht="4.5" customHeight="1" outlineLevel="1">
      <c r="A22" s="18"/>
      <c r="B22" s="68"/>
      <c r="C22" s="19"/>
      <c r="D22" s="60"/>
      <c r="E22" s="61"/>
      <c r="F22" s="74"/>
      <c r="G22" s="74"/>
      <c r="H22" s="74"/>
      <c r="I22" s="74"/>
    </row>
    <row r="23" spans="1:12" ht="56.25" customHeight="1" outlineLevel="1">
      <c r="A23" s="14">
        <v>4</v>
      </c>
      <c r="B23" s="15" t="s">
        <v>141</v>
      </c>
      <c r="C23" s="15" t="s">
        <v>43</v>
      </c>
      <c r="D23" s="57" t="s">
        <v>269</v>
      </c>
      <c r="E23" s="59">
        <f>145.8*56</f>
        <v>8164.8000000000011</v>
      </c>
      <c r="F23" s="74"/>
      <c r="G23" s="74"/>
      <c r="H23" s="74"/>
      <c r="I23" s="74"/>
      <c r="J23" s="24">
        <v>63.8</v>
      </c>
    </row>
    <row r="24" spans="1:12" ht="51">
      <c r="A24" s="14">
        <v>5</v>
      </c>
      <c r="B24" s="67" t="s">
        <v>142</v>
      </c>
      <c r="C24" s="15" t="s">
        <v>8</v>
      </c>
      <c r="D24" s="57" t="s">
        <v>271</v>
      </c>
      <c r="E24" s="59">
        <f>30.6*127</f>
        <v>3886.2000000000003</v>
      </c>
      <c r="F24" s="74" t="s">
        <v>270</v>
      </c>
      <c r="G24" s="74"/>
      <c r="H24" s="74"/>
      <c r="I24" s="74"/>
      <c r="J24" s="24">
        <f>18*8</f>
        <v>144</v>
      </c>
      <c r="L24" s="24">
        <f>J24/J23</f>
        <v>2.2570532915360504</v>
      </c>
    </row>
    <row r="25" spans="1:12" outlineLevel="1">
      <c r="A25" s="18"/>
      <c r="B25" s="69"/>
      <c r="C25" s="19"/>
      <c r="D25" s="20"/>
      <c r="E25" s="21"/>
      <c r="F25" s="74"/>
      <c r="G25" s="74"/>
      <c r="H25" s="74"/>
      <c r="I25" s="74"/>
    </row>
    <row r="26" spans="1:12" ht="59.25" customHeight="1">
      <c r="A26" s="14">
        <v>6</v>
      </c>
      <c r="B26" s="67" t="s">
        <v>144</v>
      </c>
      <c r="C26" s="15" t="s">
        <v>9</v>
      </c>
      <c r="D26" s="16" t="s">
        <v>143</v>
      </c>
      <c r="E26" s="17">
        <f>30.1*140</f>
        <v>4214</v>
      </c>
    </row>
    <row r="27" spans="1:12" ht="12.75" customHeight="1" outlineLevel="1">
      <c r="A27" s="18"/>
      <c r="B27" s="69"/>
      <c r="C27" s="19"/>
      <c r="D27" s="20"/>
      <c r="E27" s="21" t="s">
        <v>7</v>
      </c>
    </row>
    <row r="28" spans="1:12" ht="62.25" customHeight="1" outlineLevel="1">
      <c r="A28" s="14">
        <v>7</v>
      </c>
      <c r="B28" s="51" t="s">
        <v>145</v>
      </c>
      <c r="C28" s="15" t="s">
        <v>45</v>
      </c>
      <c r="D28" s="57" t="s">
        <v>273</v>
      </c>
      <c r="E28" s="59">
        <f>8.5*35</f>
        <v>297.5</v>
      </c>
      <c r="F28" s="75" t="s">
        <v>272</v>
      </c>
      <c r="G28" s="75"/>
      <c r="H28" s="75"/>
      <c r="I28" s="75"/>
    </row>
    <row r="29" spans="1:12" ht="86.25" customHeight="1" outlineLevel="1">
      <c r="A29" s="14">
        <v>8</v>
      </c>
      <c r="B29" s="50" t="s">
        <v>255</v>
      </c>
      <c r="C29" s="15" t="s">
        <v>256</v>
      </c>
      <c r="D29" s="57" t="s">
        <v>257</v>
      </c>
      <c r="E29" s="59">
        <f>168.6*1.5*36</f>
        <v>9104.4</v>
      </c>
    </row>
    <row r="30" spans="1:12" ht="63" customHeight="1">
      <c r="A30" s="14">
        <v>9</v>
      </c>
      <c r="B30" s="50" t="s">
        <v>32</v>
      </c>
      <c r="C30" s="15" t="s">
        <v>36</v>
      </c>
      <c r="D30" s="57" t="s">
        <v>274</v>
      </c>
      <c r="E30" s="58">
        <f>SUM(E17:E29)*1.9</f>
        <v>88649.87509999999</v>
      </c>
      <c r="F30" s="75" t="s">
        <v>275</v>
      </c>
      <c r="G30" s="75"/>
      <c r="H30" s="75"/>
      <c r="I30" s="75"/>
    </row>
    <row r="31" spans="1:12" s="38" customFormat="1" ht="106.5" customHeight="1">
      <c r="A31" s="14">
        <v>10</v>
      </c>
      <c r="B31" s="37" t="s">
        <v>258</v>
      </c>
      <c r="C31" s="15" t="s">
        <v>46</v>
      </c>
      <c r="D31" s="16" t="s">
        <v>259</v>
      </c>
      <c r="E31" s="36">
        <f>SUM(E17:E29)*0.05</f>
        <v>2332.8914500000001</v>
      </c>
    </row>
    <row r="32" spans="1:12" ht="53.25" customHeight="1">
      <c r="A32" s="14">
        <v>11</v>
      </c>
      <c r="B32" s="37" t="s">
        <v>33</v>
      </c>
      <c r="C32" s="15" t="s">
        <v>34</v>
      </c>
      <c r="D32" s="16" t="s">
        <v>260</v>
      </c>
      <c r="E32" s="36">
        <f>0.06*(SUM(E17:E29)+E31)*2.5</f>
        <v>7348.6080674999994</v>
      </c>
    </row>
    <row r="33" spans="1:5" ht="21" customHeight="1">
      <c r="A33" s="62" t="s">
        <v>10</v>
      </c>
      <c r="B33" s="63"/>
      <c r="C33" s="63"/>
      <c r="D33" s="63"/>
      <c r="E33" s="63"/>
    </row>
    <row r="34" spans="1:5" ht="21" customHeight="1">
      <c r="A34" s="62" t="s">
        <v>48</v>
      </c>
      <c r="B34" s="63"/>
      <c r="C34" s="63"/>
      <c r="D34" s="63"/>
      <c r="E34" s="63"/>
    </row>
    <row r="35" spans="1:5" ht="51">
      <c r="A35" s="14">
        <v>12</v>
      </c>
      <c r="B35" s="50" t="s">
        <v>147</v>
      </c>
      <c r="C35" s="15" t="s">
        <v>49</v>
      </c>
      <c r="D35" s="16" t="s">
        <v>146</v>
      </c>
      <c r="E35" s="17">
        <f>4*12</f>
        <v>48</v>
      </c>
    </row>
    <row r="36" spans="1:5" ht="57" customHeight="1">
      <c r="A36" s="14">
        <v>13</v>
      </c>
      <c r="B36" s="50" t="s">
        <v>148</v>
      </c>
      <c r="C36" s="15" t="s">
        <v>50</v>
      </c>
      <c r="D36" s="16" t="s">
        <v>149</v>
      </c>
      <c r="E36" s="17">
        <f>7.1*72</f>
        <v>511.2</v>
      </c>
    </row>
    <row r="37" spans="1:5" ht="57" customHeight="1">
      <c r="A37" s="40" t="s">
        <v>94</v>
      </c>
      <c r="B37" s="50" t="s">
        <v>150</v>
      </c>
      <c r="C37" s="15" t="s">
        <v>51</v>
      </c>
      <c r="D37" s="16" t="s">
        <v>151</v>
      </c>
      <c r="E37" s="17">
        <f>4.5*4</f>
        <v>18</v>
      </c>
    </row>
    <row r="38" spans="1:5" ht="38.25" outlineLevel="1">
      <c r="A38" s="40" t="s">
        <v>93</v>
      </c>
      <c r="B38" s="50" t="s">
        <v>152</v>
      </c>
      <c r="C38" s="15" t="s">
        <v>51</v>
      </c>
      <c r="D38" s="16" t="s">
        <v>153</v>
      </c>
      <c r="E38" s="17">
        <f>4.5*48</f>
        <v>216</v>
      </c>
    </row>
    <row r="39" spans="1:5" ht="38.25" outlineLevel="1">
      <c r="A39" s="40" t="s">
        <v>95</v>
      </c>
      <c r="B39" s="50" t="s">
        <v>154</v>
      </c>
      <c r="C39" s="15" t="s">
        <v>52</v>
      </c>
      <c r="D39" s="16" t="s">
        <v>77</v>
      </c>
      <c r="E39" s="17">
        <f>2.5*6</f>
        <v>15</v>
      </c>
    </row>
    <row r="40" spans="1:5" ht="38.25" outlineLevel="1">
      <c r="A40" s="40" t="s">
        <v>96</v>
      </c>
      <c r="B40" s="50" t="s">
        <v>155</v>
      </c>
      <c r="C40" s="15" t="s">
        <v>52</v>
      </c>
      <c r="D40" s="16" t="s">
        <v>156</v>
      </c>
      <c r="E40" s="17">
        <f>2.5*52</f>
        <v>130</v>
      </c>
    </row>
    <row r="41" spans="1:5" ht="38.25" outlineLevel="1">
      <c r="A41" s="40" t="s">
        <v>97</v>
      </c>
      <c r="B41" s="50" t="s">
        <v>163</v>
      </c>
      <c r="C41" s="15" t="s">
        <v>69</v>
      </c>
      <c r="D41" s="16" t="s">
        <v>80</v>
      </c>
      <c r="E41" s="17">
        <f>7.2*6</f>
        <v>43.2</v>
      </c>
    </row>
    <row r="42" spans="1:5" ht="38.25" outlineLevel="1">
      <c r="A42" s="40" t="s">
        <v>98</v>
      </c>
      <c r="B42" s="50" t="s">
        <v>175</v>
      </c>
      <c r="C42" s="15" t="s">
        <v>69</v>
      </c>
      <c r="D42" s="16" t="s">
        <v>174</v>
      </c>
      <c r="E42" s="17">
        <f>7.2*52</f>
        <v>374.40000000000003</v>
      </c>
    </row>
    <row r="43" spans="1:5" ht="43.5" customHeight="1" outlineLevel="1">
      <c r="A43" s="40" t="s">
        <v>99</v>
      </c>
      <c r="B43" s="50" t="s">
        <v>165</v>
      </c>
      <c r="C43" s="15" t="s">
        <v>53</v>
      </c>
      <c r="D43" s="16" t="s">
        <v>164</v>
      </c>
      <c r="E43" s="17">
        <f>(18.2-4)*6</f>
        <v>85.199999999999989</v>
      </c>
    </row>
    <row r="44" spans="1:5" ht="42" customHeight="1" outlineLevel="1">
      <c r="A44" s="40" t="s">
        <v>100</v>
      </c>
      <c r="B44" s="50" t="s">
        <v>177</v>
      </c>
      <c r="C44" s="15" t="s">
        <v>53</v>
      </c>
      <c r="D44" s="16" t="s">
        <v>176</v>
      </c>
      <c r="E44" s="17">
        <f>(18.2-4)*52</f>
        <v>738.4</v>
      </c>
    </row>
    <row r="45" spans="1:5" ht="42" customHeight="1" outlineLevel="1">
      <c r="A45" s="40" t="s">
        <v>101</v>
      </c>
      <c r="B45" s="50" t="s">
        <v>167</v>
      </c>
      <c r="C45" s="15" t="s">
        <v>54</v>
      </c>
      <c r="D45" s="16" t="s">
        <v>166</v>
      </c>
      <c r="E45" s="17">
        <f>19.6*6</f>
        <v>117.60000000000001</v>
      </c>
    </row>
    <row r="46" spans="1:5" ht="41.25" customHeight="1" outlineLevel="1">
      <c r="A46" s="40" t="s">
        <v>102</v>
      </c>
      <c r="B46" s="50" t="s">
        <v>179</v>
      </c>
      <c r="C46" s="15" t="s">
        <v>54</v>
      </c>
      <c r="D46" s="16" t="s">
        <v>178</v>
      </c>
      <c r="E46" s="17">
        <f>19.6*52</f>
        <v>1019.2</v>
      </c>
    </row>
    <row r="47" spans="1:5" ht="38.25" outlineLevel="1">
      <c r="A47" s="14">
        <v>19</v>
      </c>
      <c r="B47" s="50" t="s">
        <v>181</v>
      </c>
      <c r="C47" s="15" t="s">
        <v>55</v>
      </c>
      <c r="D47" s="16" t="s">
        <v>180</v>
      </c>
      <c r="E47" s="17">
        <f>3.8*60</f>
        <v>228</v>
      </c>
    </row>
    <row r="48" spans="1:5" ht="38.25" outlineLevel="1">
      <c r="A48" s="40" t="s">
        <v>103</v>
      </c>
      <c r="B48" s="50" t="s">
        <v>169</v>
      </c>
      <c r="C48" s="15" t="s">
        <v>56</v>
      </c>
      <c r="D48" s="16" t="s">
        <v>168</v>
      </c>
      <c r="E48" s="17">
        <f>19.1*6</f>
        <v>114.60000000000001</v>
      </c>
    </row>
    <row r="49" spans="1:5" ht="38.25" outlineLevel="1">
      <c r="A49" s="40" t="s">
        <v>104</v>
      </c>
      <c r="B49" s="50" t="s">
        <v>183</v>
      </c>
      <c r="C49" s="15" t="s">
        <v>56</v>
      </c>
      <c r="D49" s="16" t="s">
        <v>182</v>
      </c>
      <c r="E49" s="17">
        <f>19.1*52</f>
        <v>993.2</v>
      </c>
    </row>
    <row r="50" spans="1:5" ht="46.5" customHeight="1" outlineLevel="1">
      <c r="A50" s="40" t="s">
        <v>105</v>
      </c>
      <c r="B50" s="50" t="s">
        <v>185</v>
      </c>
      <c r="C50" s="15" t="s">
        <v>57</v>
      </c>
      <c r="D50" s="16" t="s">
        <v>184</v>
      </c>
      <c r="E50" s="17">
        <f>2.2*6</f>
        <v>13.200000000000001</v>
      </c>
    </row>
    <row r="51" spans="1:5" ht="42" customHeight="1" outlineLevel="1">
      <c r="A51" s="40" t="s">
        <v>106</v>
      </c>
      <c r="B51" s="50" t="s">
        <v>187</v>
      </c>
      <c r="C51" s="15" t="s">
        <v>57</v>
      </c>
      <c r="D51" s="16" t="s">
        <v>186</v>
      </c>
      <c r="E51" s="17">
        <f>2.2*52</f>
        <v>114.4</v>
      </c>
    </row>
    <row r="52" spans="1:5" ht="38.25" outlineLevel="1">
      <c r="A52" s="14">
        <v>22</v>
      </c>
      <c r="B52" s="50" t="s">
        <v>171</v>
      </c>
      <c r="C52" s="15" t="s">
        <v>58</v>
      </c>
      <c r="D52" s="16" t="s">
        <v>170</v>
      </c>
      <c r="E52" s="17">
        <f>18.2*6</f>
        <v>109.19999999999999</v>
      </c>
    </row>
    <row r="53" spans="1:5" ht="38.25" outlineLevel="1">
      <c r="A53" s="14">
        <v>23</v>
      </c>
      <c r="B53" s="50" t="s">
        <v>172</v>
      </c>
      <c r="C53" s="15" t="s">
        <v>59</v>
      </c>
      <c r="D53" s="16" t="s">
        <v>173</v>
      </c>
      <c r="E53" s="17">
        <f>(25.4+3.8)*6</f>
        <v>175.2</v>
      </c>
    </row>
    <row r="54" spans="1:5" ht="71.25" customHeight="1" outlineLevel="1">
      <c r="A54" s="14">
        <v>24</v>
      </c>
      <c r="B54" s="50" t="s">
        <v>192</v>
      </c>
      <c r="C54" s="15" t="s">
        <v>60</v>
      </c>
      <c r="D54" s="16" t="s">
        <v>188</v>
      </c>
      <c r="E54" s="17">
        <f>(186.4-47.1-12.8+9.7)*20</f>
        <v>2724.0000000000005</v>
      </c>
    </row>
    <row r="55" spans="1:5" ht="66.75" customHeight="1" outlineLevel="1">
      <c r="A55" s="14">
        <v>25</v>
      </c>
      <c r="B55" s="50" t="s">
        <v>191</v>
      </c>
      <c r="C55" s="15" t="s">
        <v>60</v>
      </c>
      <c r="D55" s="16" t="s">
        <v>188</v>
      </c>
      <c r="E55" s="17">
        <f>(186.4-47.1-12.8+9.7)*20</f>
        <v>2724.0000000000005</v>
      </c>
    </row>
    <row r="56" spans="1:5" ht="68.25" customHeight="1" outlineLevel="1">
      <c r="A56" s="14">
        <v>26</v>
      </c>
      <c r="B56" s="50" t="s">
        <v>190</v>
      </c>
      <c r="C56" s="15" t="s">
        <v>61</v>
      </c>
      <c r="D56" s="16" t="s">
        <v>189</v>
      </c>
      <c r="E56" s="17">
        <f>((263.6-47.1-12.8+9.7)+38.2)*20</f>
        <v>5032</v>
      </c>
    </row>
    <row r="57" spans="1:5" ht="94.5" customHeight="1" outlineLevel="1">
      <c r="A57" s="14">
        <v>27</v>
      </c>
      <c r="B57" s="50" t="s">
        <v>194</v>
      </c>
      <c r="C57" s="15" t="s">
        <v>62</v>
      </c>
      <c r="D57" s="16" t="s">
        <v>193</v>
      </c>
      <c r="E57" s="17">
        <f>(152.8-47.1-12.8+9.7)*35</f>
        <v>3591.0000000000009</v>
      </c>
    </row>
    <row r="58" spans="1:5" ht="45.75" customHeight="1" outlineLevel="1">
      <c r="A58" s="14">
        <v>28</v>
      </c>
      <c r="B58" s="50" t="s">
        <v>196</v>
      </c>
      <c r="C58" s="15" t="s">
        <v>63</v>
      </c>
      <c r="D58" s="16" t="s">
        <v>195</v>
      </c>
      <c r="E58" s="17">
        <f>(77.2-12.8)*65</f>
        <v>4186</v>
      </c>
    </row>
    <row r="59" spans="1:5" ht="58.5" customHeight="1" outlineLevel="1">
      <c r="A59" s="14">
        <v>29</v>
      </c>
      <c r="B59" s="50" t="s">
        <v>198</v>
      </c>
      <c r="C59" s="15" t="s">
        <v>64</v>
      </c>
      <c r="D59" s="16" t="s">
        <v>197</v>
      </c>
      <c r="E59" s="17">
        <f>((135-47.1)+14.4)*5</f>
        <v>511.50000000000006</v>
      </c>
    </row>
    <row r="60" spans="1:5" ht="84" customHeight="1" outlineLevel="1">
      <c r="A60" s="14">
        <v>30</v>
      </c>
      <c r="B60" s="50" t="s">
        <v>200</v>
      </c>
      <c r="C60" s="15" t="s">
        <v>65</v>
      </c>
      <c r="D60" s="16" t="s">
        <v>199</v>
      </c>
      <c r="E60" s="17">
        <f>(101.9-47.1)*8</f>
        <v>438.40000000000003</v>
      </c>
    </row>
    <row r="61" spans="1:5" ht="21" customHeight="1">
      <c r="A61" s="14"/>
      <c r="B61" s="50" t="s">
        <v>107</v>
      </c>
      <c r="C61" s="15"/>
      <c r="D61" s="16"/>
      <c r="E61" s="17">
        <f>SUM(E35:E60)</f>
        <v>24270.9</v>
      </c>
    </row>
    <row r="62" spans="1:5" ht="18.75" customHeight="1" outlineLevel="1">
      <c r="A62" s="23"/>
      <c r="B62" s="45" t="s">
        <v>108</v>
      </c>
      <c r="C62" s="41"/>
      <c r="D62" s="42"/>
      <c r="E62" s="43">
        <f>E35+E37+E39+E41+E43+E45+E48+E50+E59+E60</f>
        <v>1404.7</v>
      </c>
    </row>
    <row r="63" spans="1:5" ht="18.75" customHeight="1">
      <c r="A63" s="44"/>
      <c r="B63" s="45" t="s">
        <v>109</v>
      </c>
      <c r="C63" s="44"/>
      <c r="D63" s="44"/>
      <c r="E63" s="43">
        <f>E61-E62</f>
        <v>22866.2</v>
      </c>
    </row>
    <row r="64" spans="1:5" ht="18" customHeight="1" outlineLevel="1">
      <c r="A64" s="62" t="s">
        <v>66</v>
      </c>
      <c r="B64" s="63"/>
      <c r="C64" s="63"/>
      <c r="D64" s="63"/>
      <c r="E64" s="63"/>
    </row>
    <row r="65" spans="1:5" ht="51" outlineLevel="1">
      <c r="A65" s="14">
        <v>31</v>
      </c>
      <c r="B65" s="50" t="s">
        <v>202</v>
      </c>
      <c r="C65" s="15" t="s">
        <v>75</v>
      </c>
      <c r="D65" s="16" t="s">
        <v>201</v>
      </c>
      <c r="E65" s="17">
        <f>1.9*5</f>
        <v>9.5</v>
      </c>
    </row>
    <row r="66" spans="1:5" ht="51" outlineLevel="1">
      <c r="A66" s="14">
        <v>32</v>
      </c>
      <c r="B66" s="37" t="s">
        <v>214</v>
      </c>
      <c r="C66" s="15" t="s">
        <v>68</v>
      </c>
      <c r="D66" s="16" t="s">
        <v>213</v>
      </c>
      <c r="E66" s="17">
        <f>4.8*15</f>
        <v>72</v>
      </c>
    </row>
    <row r="67" spans="1:5" ht="38.25" outlineLevel="1">
      <c r="A67" s="14">
        <v>33</v>
      </c>
      <c r="B67" s="37" t="s">
        <v>216</v>
      </c>
      <c r="C67" s="15" t="s">
        <v>67</v>
      </c>
      <c r="D67" s="16" t="s">
        <v>215</v>
      </c>
      <c r="E67" s="17">
        <f>2.9*15</f>
        <v>43.5</v>
      </c>
    </row>
    <row r="68" spans="1:5" ht="38.25" outlineLevel="1">
      <c r="A68" s="40" t="s">
        <v>110</v>
      </c>
      <c r="B68" s="37" t="s">
        <v>204</v>
      </c>
      <c r="C68" s="15" t="s">
        <v>52</v>
      </c>
      <c r="D68" s="16" t="s">
        <v>203</v>
      </c>
      <c r="E68" s="17">
        <f>2.5*5</f>
        <v>12.5</v>
      </c>
    </row>
    <row r="69" spans="1:5" ht="38.25" outlineLevel="1">
      <c r="A69" s="40" t="s">
        <v>111</v>
      </c>
      <c r="B69" s="37" t="s">
        <v>218</v>
      </c>
      <c r="C69" s="15" t="s">
        <v>52</v>
      </c>
      <c r="D69" s="16" t="s">
        <v>217</v>
      </c>
      <c r="E69" s="17">
        <f>2.5*15</f>
        <v>37.5</v>
      </c>
    </row>
    <row r="70" spans="1:5" ht="38.25" outlineLevel="1">
      <c r="A70" s="40" t="s">
        <v>112</v>
      </c>
      <c r="B70" s="37" t="s">
        <v>206</v>
      </c>
      <c r="C70" s="15" t="s">
        <v>69</v>
      </c>
      <c r="D70" s="16" t="s">
        <v>205</v>
      </c>
      <c r="E70" s="17">
        <f>7.2*5</f>
        <v>36</v>
      </c>
    </row>
    <row r="71" spans="1:5" ht="45" customHeight="1" outlineLevel="1">
      <c r="A71" s="40" t="s">
        <v>113</v>
      </c>
      <c r="B71" s="37" t="s">
        <v>220</v>
      </c>
      <c r="C71" s="15" t="s">
        <v>69</v>
      </c>
      <c r="D71" s="16" t="s">
        <v>219</v>
      </c>
      <c r="E71" s="17">
        <f>7.2*15</f>
        <v>108</v>
      </c>
    </row>
    <row r="72" spans="1:5" ht="45" customHeight="1" outlineLevel="1">
      <c r="A72" s="40" t="s">
        <v>114</v>
      </c>
      <c r="B72" s="37" t="s">
        <v>208</v>
      </c>
      <c r="C72" s="15" t="s">
        <v>70</v>
      </c>
      <c r="D72" s="16" t="s">
        <v>207</v>
      </c>
      <c r="E72" s="17">
        <f>9.1*5</f>
        <v>45.5</v>
      </c>
    </row>
    <row r="73" spans="1:5" ht="44.25" customHeight="1" outlineLevel="1">
      <c r="A73" s="40" t="s">
        <v>115</v>
      </c>
      <c r="B73" s="37" t="s">
        <v>223</v>
      </c>
      <c r="C73" s="15" t="s">
        <v>70</v>
      </c>
      <c r="D73" s="16" t="s">
        <v>221</v>
      </c>
      <c r="E73" s="17">
        <f>9.1*15</f>
        <v>136.5</v>
      </c>
    </row>
    <row r="74" spans="1:5" ht="38.25" outlineLevel="1">
      <c r="A74" s="14">
        <v>37</v>
      </c>
      <c r="B74" s="37" t="s">
        <v>224</v>
      </c>
      <c r="C74" s="15" t="s">
        <v>55</v>
      </c>
      <c r="D74" s="16" t="s">
        <v>222</v>
      </c>
      <c r="E74" s="17">
        <f>3.8*15</f>
        <v>57</v>
      </c>
    </row>
    <row r="75" spans="1:5" ht="38.25" outlineLevel="1">
      <c r="A75" s="40" t="s">
        <v>116</v>
      </c>
      <c r="B75" s="37" t="s">
        <v>210</v>
      </c>
      <c r="C75" s="15" t="s">
        <v>56</v>
      </c>
      <c r="D75" s="16" t="s">
        <v>209</v>
      </c>
      <c r="E75" s="17">
        <f>19.1*5</f>
        <v>95.5</v>
      </c>
    </row>
    <row r="76" spans="1:5" ht="38.25" outlineLevel="1">
      <c r="A76" s="40" t="s">
        <v>117</v>
      </c>
      <c r="B76" s="37" t="s">
        <v>227</v>
      </c>
      <c r="C76" s="15" t="s">
        <v>56</v>
      </c>
      <c r="D76" s="16" t="s">
        <v>226</v>
      </c>
      <c r="E76" s="17">
        <f>19.1*15</f>
        <v>286.5</v>
      </c>
    </row>
    <row r="77" spans="1:5" ht="38.25" outlineLevel="1">
      <c r="A77" s="40" t="s">
        <v>118</v>
      </c>
      <c r="B77" s="37" t="s">
        <v>212</v>
      </c>
      <c r="C77" s="15" t="s">
        <v>57</v>
      </c>
      <c r="D77" s="16" t="s">
        <v>211</v>
      </c>
      <c r="E77" s="17">
        <f>2.2*5</f>
        <v>11</v>
      </c>
    </row>
    <row r="78" spans="1:5" ht="45.75" customHeight="1" outlineLevel="1">
      <c r="A78" s="40" t="s">
        <v>119</v>
      </c>
      <c r="B78" s="37" t="s">
        <v>228</v>
      </c>
      <c r="C78" s="15" t="s">
        <v>57</v>
      </c>
      <c r="D78" s="16" t="s">
        <v>225</v>
      </c>
      <c r="E78" s="17">
        <f>2.2*15</f>
        <v>33</v>
      </c>
    </row>
    <row r="79" spans="1:5" ht="68.25" customHeight="1" outlineLevel="1">
      <c r="A79" s="14">
        <v>40</v>
      </c>
      <c r="B79" s="37" t="s">
        <v>230</v>
      </c>
      <c r="C79" s="15" t="s">
        <v>72</v>
      </c>
      <c r="D79" s="16" t="s">
        <v>229</v>
      </c>
      <c r="E79" s="17">
        <f>(164.9-4.8-2.9-9.1-7.2)*10</f>
        <v>1409</v>
      </c>
    </row>
    <row r="80" spans="1:5" ht="86.25" customHeight="1" outlineLevel="1">
      <c r="A80" s="14">
        <v>41</v>
      </c>
      <c r="B80" s="37" t="s">
        <v>231</v>
      </c>
      <c r="C80" s="15" t="s">
        <v>72</v>
      </c>
      <c r="D80" s="16" t="s">
        <v>229</v>
      </c>
      <c r="E80" s="17">
        <f>(164.9-4.8-2.9-9.1-7.2)*10</f>
        <v>1409</v>
      </c>
    </row>
    <row r="81" spans="1:5" ht="81" customHeight="1" outlineLevel="1">
      <c r="A81" s="14">
        <v>42</v>
      </c>
      <c r="B81" s="37" t="s">
        <v>233</v>
      </c>
      <c r="C81" s="15" t="s">
        <v>71</v>
      </c>
      <c r="D81" s="16" t="s">
        <v>232</v>
      </c>
      <c r="E81" s="17">
        <f>(138.9-4.8-2.9-9.1-7.2)*25</f>
        <v>2872.5</v>
      </c>
    </row>
    <row r="82" spans="1:5" ht="62.25" customHeight="1">
      <c r="A82" s="14">
        <v>43</v>
      </c>
      <c r="B82" s="37" t="s">
        <v>235</v>
      </c>
      <c r="C82" s="15" t="s">
        <v>73</v>
      </c>
      <c r="D82" s="16" t="s">
        <v>234</v>
      </c>
      <c r="E82" s="17">
        <f>(237.8-4.8-2.9-9.1+31.8-7.2)*10</f>
        <v>2456</v>
      </c>
    </row>
    <row r="83" spans="1:5" ht="21" customHeight="1">
      <c r="A83" s="14"/>
      <c r="B83" s="50" t="s">
        <v>120</v>
      </c>
      <c r="C83" s="15"/>
      <c r="D83" s="16"/>
      <c r="E83" s="17">
        <f>SUM(E65:E82)</f>
        <v>9130.5</v>
      </c>
    </row>
    <row r="84" spans="1:5" ht="21" customHeight="1">
      <c r="A84" s="14"/>
      <c r="B84" s="45" t="s">
        <v>108</v>
      </c>
      <c r="C84" s="15"/>
      <c r="D84" s="16"/>
      <c r="E84" s="17">
        <f>E65+E68+E70+E72+E75+E77</f>
        <v>210</v>
      </c>
    </row>
    <row r="85" spans="1:5" ht="21" customHeight="1">
      <c r="A85" s="14"/>
      <c r="B85" s="45" t="s">
        <v>109</v>
      </c>
      <c r="C85" s="15"/>
      <c r="D85" s="16"/>
      <c r="E85" s="17">
        <f>E83-E84</f>
        <v>8920.5</v>
      </c>
    </row>
    <row r="86" spans="1:5" ht="22.5" customHeight="1" outlineLevel="1">
      <c r="A86" s="62" t="s">
        <v>74</v>
      </c>
      <c r="B86" s="63"/>
      <c r="C86" s="63"/>
      <c r="D86" s="63"/>
      <c r="E86" s="63"/>
    </row>
    <row r="87" spans="1:5" ht="51" outlineLevel="1">
      <c r="A87" s="14">
        <v>44</v>
      </c>
      <c r="B87" s="50" t="s">
        <v>147</v>
      </c>
      <c r="C87" s="15" t="s">
        <v>76</v>
      </c>
      <c r="D87" s="16" t="s">
        <v>236</v>
      </c>
      <c r="E87" s="17">
        <f>1.9*12</f>
        <v>22.799999999999997</v>
      </c>
    </row>
    <row r="88" spans="1:5" ht="46.5" customHeight="1" outlineLevel="1">
      <c r="A88" s="14">
        <v>45</v>
      </c>
      <c r="B88" s="37" t="s">
        <v>238</v>
      </c>
      <c r="C88" s="15" t="s">
        <v>52</v>
      </c>
      <c r="D88" s="16" t="s">
        <v>237</v>
      </c>
      <c r="E88" s="17">
        <f>2.5*12</f>
        <v>30</v>
      </c>
    </row>
    <row r="89" spans="1:5" ht="46.5" customHeight="1" outlineLevel="1">
      <c r="A89" s="14">
        <v>46</v>
      </c>
      <c r="B89" s="37" t="s">
        <v>240</v>
      </c>
      <c r="C89" s="15" t="s">
        <v>78</v>
      </c>
      <c r="D89" s="16" t="s">
        <v>239</v>
      </c>
      <c r="E89" s="17">
        <f>6*12</f>
        <v>72</v>
      </c>
    </row>
    <row r="90" spans="1:5" ht="46.5" customHeight="1" outlineLevel="1">
      <c r="A90" s="14">
        <v>47</v>
      </c>
      <c r="B90" s="37" t="s">
        <v>242</v>
      </c>
      <c r="C90" s="15" t="s">
        <v>79</v>
      </c>
      <c r="D90" s="16" t="s">
        <v>241</v>
      </c>
      <c r="E90" s="17">
        <f>7.2*12</f>
        <v>86.4</v>
      </c>
    </row>
    <row r="91" spans="1:5" ht="46.5" customHeight="1" outlineLevel="1">
      <c r="A91" s="14">
        <v>48</v>
      </c>
      <c r="B91" s="37" t="s">
        <v>248</v>
      </c>
      <c r="C91" s="15" t="s">
        <v>81</v>
      </c>
      <c r="D91" s="16" t="s">
        <v>247</v>
      </c>
      <c r="E91" s="17">
        <f>1.8*24</f>
        <v>43.2</v>
      </c>
    </row>
    <row r="92" spans="1:5" ht="46.5" customHeight="1" outlineLevel="1">
      <c r="A92" s="14">
        <v>49</v>
      </c>
      <c r="B92" s="37" t="s">
        <v>250</v>
      </c>
      <c r="C92" s="15" t="s">
        <v>83</v>
      </c>
      <c r="D92" s="16" t="s">
        <v>249</v>
      </c>
      <c r="E92" s="17">
        <f>1.3*24</f>
        <v>31.200000000000003</v>
      </c>
    </row>
    <row r="93" spans="1:5" ht="51" outlineLevel="1">
      <c r="A93" s="14">
        <v>50</v>
      </c>
      <c r="B93" s="37" t="s">
        <v>243</v>
      </c>
      <c r="C93" s="15" t="s">
        <v>84</v>
      </c>
      <c r="D93" s="16" t="s">
        <v>82</v>
      </c>
      <c r="E93" s="17">
        <f>1.8*12</f>
        <v>21.6</v>
      </c>
    </row>
    <row r="94" spans="1:5" ht="51" outlineLevel="1">
      <c r="A94" s="14">
        <v>51</v>
      </c>
      <c r="B94" s="37" t="s">
        <v>244</v>
      </c>
      <c r="C94" s="15" t="s">
        <v>84</v>
      </c>
      <c r="D94" s="16" t="s">
        <v>82</v>
      </c>
      <c r="E94" s="17">
        <f>1.8*12</f>
        <v>21.6</v>
      </c>
    </row>
    <row r="95" spans="1:5" ht="51" outlineLevel="1">
      <c r="A95" s="14">
        <v>52</v>
      </c>
      <c r="B95" s="37" t="s">
        <v>250</v>
      </c>
      <c r="C95" s="15" t="s">
        <v>83</v>
      </c>
      <c r="D95" s="16" t="s">
        <v>249</v>
      </c>
      <c r="E95" s="17">
        <f>1.3*24</f>
        <v>31.200000000000003</v>
      </c>
    </row>
    <row r="96" spans="1:5" ht="51" outlineLevel="1">
      <c r="A96" s="14">
        <v>53</v>
      </c>
      <c r="B96" s="37" t="s">
        <v>245</v>
      </c>
      <c r="C96" s="15" t="s">
        <v>85</v>
      </c>
      <c r="D96" s="16" t="s">
        <v>82</v>
      </c>
      <c r="E96" s="17">
        <f>1.8*12</f>
        <v>21.6</v>
      </c>
    </row>
    <row r="97" spans="1:9" ht="43.5" customHeight="1">
      <c r="A97" s="14">
        <v>54</v>
      </c>
      <c r="B97" s="37" t="s">
        <v>246</v>
      </c>
      <c r="C97" s="15" t="s">
        <v>85</v>
      </c>
      <c r="D97" s="16" t="s">
        <v>82</v>
      </c>
      <c r="E97" s="17">
        <f>1.8*12</f>
        <v>21.6</v>
      </c>
    </row>
    <row r="98" spans="1:9" ht="25.5" customHeight="1">
      <c r="A98" s="14"/>
      <c r="B98" s="50" t="s">
        <v>90</v>
      </c>
      <c r="C98" s="15"/>
      <c r="D98" s="16"/>
      <c r="E98" s="17">
        <f>SUM(E87:E97)</f>
        <v>403.20000000000005</v>
      </c>
    </row>
    <row r="99" spans="1:9" ht="18" customHeight="1" outlineLevel="1">
      <c r="A99" s="62" t="s">
        <v>86</v>
      </c>
      <c r="B99" s="63"/>
      <c r="C99" s="63"/>
      <c r="D99" s="63"/>
      <c r="E99" s="63"/>
    </row>
    <row r="100" spans="1:9" ht="65.25" customHeight="1">
      <c r="A100" s="14">
        <v>55</v>
      </c>
      <c r="B100" s="37" t="s">
        <v>87</v>
      </c>
      <c r="C100" s="15" t="s">
        <v>88</v>
      </c>
      <c r="D100" s="16" t="s">
        <v>89</v>
      </c>
      <c r="E100" s="17">
        <f>382*1.5</f>
        <v>573</v>
      </c>
    </row>
    <row r="101" spans="1:9" ht="61.5" customHeight="1">
      <c r="A101" s="14">
        <v>56</v>
      </c>
      <c r="B101" s="50" t="s">
        <v>32</v>
      </c>
      <c r="C101" s="15" t="s">
        <v>37</v>
      </c>
      <c r="D101" s="16" t="s">
        <v>157</v>
      </c>
      <c r="E101" s="36">
        <f>(E61+E83+E98+E100)*0.9</f>
        <v>30939.84</v>
      </c>
    </row>
    <row r="102" spans="1:9" ht="15">
      <c r="A102" s="70" t="s">
        <v>11</v>
      </c>
      <c r="B102" s="71"/>
      <c r="C102" s="71"/>
      <c r="D102" s="71"/>
      <c r="E102" s="72"/>
    </row>
    <row r="103" spans="1:9" ht="51" outlineLevel="1">
      <c r="A103" s="14">
        <v>57</v>
      </c>
      <c r="B103" s="67" t="s">
        <v>38</v>
      </c>
      <c r="C103" s="15" t="s">
        <v>12</v>
      </c>
      <c r="D103" s="16" t="s">
        <v>35</v>
      </c>
      <c r="E103" s="17">
        <f>800*1.25*0.5</f>
        <v>500</v>
      </c>
    </row>
    <row r="104" spans="1:9" ht="28.5" customHeight="1" outlineLevel="1">
      <c r="A104" s="18"/>
      <c r="B104" s="69"/>
      <c r="C104" s="19" t="s">
        <v>13</v>
      </c>
      <c r="D104" s="20"/>
      <c r="E104" s="21" t="s">
        <v>7</v>
      </c>
    </row>
    <row r="105" spans="1:9" ht="39" customHeight="1" outlineLevel="1">
      <c r="A105" s="18"/>
      <c r="B105" s="69"/>
      <c r="C105" s="19" t="s">
        <v>14</v>
      </c>
      <c r="D105" s="20"/>
      <c r="E105" s="47" t="s">
        <v>7</v>
      </c>
    </row>
    <row r="106" spans="1:9" ht="68.25" customHeight="1">
      <c r="A106" s="14">
        <v>58</v>
      </c>
      <c r="B106" s="50" t="s">
        <v>41</v>
      </c>
      <c r="C106" s="15" t="s">
        <v>276</v>
      </c>
      <c r="D106" s="57" t="s">
        <v>277</v>
      </c>
      <c r="E106" s="58">
        <f>23.4*0.63</f>
        <v>14.741999999999999</v>
      </c>
      <c r="F106" s="76" t="s">
        <v>264</v>
      </c>
      <c r="G106" s="77"/>
      <c r="H106" s="77"/>
      <c r="I106" s="77"/>
    </row>
    <row r="107" spans="1:9" ht="56.25" customHeight="1" outlineLevel="1">
      <c r="A107" s="14">
        <v>59</v>
      </c>
      <c r="B107" s="67" t="s">
        <v>123</v>
      </c>
      <c r="C107" s="15" t="s">
        <v>121</v>
      </c>
      <c r="D107" s="16" t="s">
        <v>122</v>
      </c>
      <c r="E107" s="36">
        <f>9.4*(32+23.1+0.4+8.7)</f>
        <v>603.48</v>
      </c>
    </row>
    <row r="108" spans="1:9" ht="10.5" customHeight="1" outlineLevel="1">
      <c r="A108" s="18"/>
      <c r="B108" s="73"/>
      <c r="C108" s="19"/>
      <c r="D108" s="20"/>
      <c r="E108" s="47"/>
    </row>
    <row r="109" spans="1:9" ht="64.5" customHeight="1">
      <c r="A109" s="14">
        <v>60</v>
      </c>
      <c r="B109" s="50" t="s">
        <v>91</v>
      </c>
      <c r="C109" s="15" t="s">
        <v>44</v>
      </c>
      <c r="D109" s="16" t="s">
        <v>92</v>
      </c>
      <c r="E109" s="36">
        <f>8*9</f>
        <v>72</v>
      </c>
    </row>
    <row r="110" spans="1:9" ht="55.5" customHeight="1" outlineLevel="1">
      <c r="A110" s="46" t="s">
        <v>124</v>
      </c>
      <c r="B110" s="67" t="s">
        <v>15</v>
      </c>
      <c r="C110" s="15" t="s">
        <v>16</v>
      </c>
      <c r="D110" s="16" t="s">
        <v>158</v>
      </c>
      <c r="E110" s="36">
        <f>E62*0.2</f>
        <v>280.94</v>
      </c>
    </row>
    <row r="111" spans="1:9" ht="19.5" customHeight="1">
      <c r="A111" s="18"/>
      <c r="B111" s="68"/>
      <c r="C111" s="19"/>
      <c r="D111" s="20"/>
      <c r="E111" s="21"/>
    </row>
    <row r="112" spans="1:9" ht="51" outlineLevel="1">
      <c r="A112" s="46" t="s">
        <v>125</v>
      </c>
      <c r="B112" s="67" t="s">
        <v>15</v>
      </c>
      <c r="C112" s="15" t="s">
        <v>16</v>
      </c>
      <c r="D112" s="16" t="s">
        <v>159</v>
      </c>
      <c r="E112" s="36">
        <f>E63*0.2*1.5</f>
        <v>6859.8600000000006</v>
      </c>
    </row>
    <row r="113" spans="1:9" ht="24" outlineLevel="1">
      <c r="A113" s="18"/>
      <c r="B113" s="68"/>
      <c r="C113" s="19" t="s">
        <v>17</v>
      </c>
      <c r="D113" s="20"/>
      <c r="E113" s="21" t="s">
        <v>7</v>
      </c>
    </row>
    <row r="114" spans="1:9">
      <c r="A114" s="18"/>
      <c r="B114" s="68"/>
      <c r="C114" s="19"/>
      <c r="D114" s="20"/>
      <c r="E114" s="21"/>
    </row>
    <row r="115" spans="1:9" ht="78.75" customHeight="1">
      <c r="A115" s="46" t="s">
        <v>126</v>
      </c>
      <c r="B115" s="50" t="s">
        <v>128</v>
      </c>
      <c r="C115" s="15" t="s">
        <v>129</v>
      </c>
      <c r="D115" s="16" t="s">
        <v>160</v>
      </c>
      <c r="E115" s="36">
        <f>E84*0.15</f>
        <v>31.5</v>
      </c>
    </row>
    <row r="116" spans="1:9" ht="82.5" customHeight="1">
      <c r="A116" s="46" t="s">
        <v>127</v>
      </c>
      <c r="B116" s="50" t="s">
        <v>128</v>
      </c>
      <c r="C116" s="15" t="s">
        <v>130</v>
      </c>
      <c r="D116" s="16" t="s">
        <v>161</v>
      </c>
      <c r="E116" s="36">
        <f>E85*0.15*1.5</f>
        <v>2007.1125000000002</v>
      </c>
    </row>
    <row r="117" spans="1:9" ht="84.75" customHeight="1">
      <c r="A117" s="46">
        <v>62</v>
      </c>
      <c r="B117" s="50" t="s">
        <v>131</v>
      </c>
      <c r="C117" s="15" t="s">
        <v>132</v>
      </c>
      <c r="D117" s="16" t="s">
        <v>162</v>
      </c>
      <c r="E117" s="36">
        <f>E98*0.1*1.5</f>
        <v>60.480000000000011</v>
      </c>
    </row>
    <row r="118" spans="1:9" ht="84.75" customHeight="1">
      <c r="A118" s="14">
        <v>63</v>
      </c>
      <c r="B118" s="50" t="s">
        <v>251</v>
      </c>
      <c r="C118" s="15" t="s">
        <v>252</v>
      </c>
      <c r="D118" s="16" t="s">
        <v>253</v>
      </c>
      <c r="E118" s="36">
        <f>38.3*36</f>
        <v>1378.8</v>
      </c>
    </row>
    <row r="119" spans="1:9" ht="72" customHeight="1" outlineLevel="1">
      <c r="A119" s="14">
        <v>64</v>
      </c>
      <c r="B119" s="50" t="s">
        <v>133</v>
      </c>
      <c r="C119" s="15" t="s">
        <v>134</v>
      </c>
      <c r="D119" s="16" t="s">
        <v>254</v>
      </c>
      <c r="E119" s="36">
        <f>SUM(E103:E118)*0.22</f>
        <v>2597.96119</v>
      </c>
    </row>
    <row r="120" spans="1:9" ht="64.5" customHeight="1">
      <c r="A120" s="14">
        <v>65</v>
      </c>
      <c r="B120" s="50" t="s">
        <v>32</v>
      </c>
      <c r="C120" s="15" t="s">
        <v>37</v>
      </c>
      <c r="D120" s="16" t="s">
        <v>278</v>
      </c>
      <c r="E120" s="36">
        <f>SUM(E103:E119)*1.9</f>
        <v>27373.063810999996</v>
      </c>
      <c r="F120" s="75" t="s">
        <v>279</v>
      </c>
      <c r="G120" s="75"/>
      <c r="H120" s="75"/>
      <c r="I120" s="75"/>
    </row>
    <row r="121" spans="1:9" ht="15">
      <c r="A121" s="14"/>
      <c r="B121" s="83" t="s">
        <v>18</v>
      </c>
      <c r="C121" s="84"/>
      <c r="D121" s="84"/>
      <c r="E121" s="22"/>
    </row>
    <row r="122" spans="1:9" ht="15">
      <c r="A122" s="14"/>
      <c r="B122" s="85" t="s">
        <v>19</v>
      </c>
      <c r="C122" s="86"/>
      <c r="D122" s="86"/>
      <c r="E122" s="36"/>
    </row>
    <row r="123" spans="1:9" ht="15">
      <c r="A123" s="14"/>
      <c r="B123" s="85" t="s">
        <v>47</v>
      </c>
      <c r="C123" s="86"/>
      <c r="D123" s="86"/>
      <c r="E123" s="56">
        <f>SUM(E17:E32)</f>
        <v>144989.20361749997</v>
      </c>
    </row>
    <row r="124" spans="1:9" ht="15">
      <c r="A124" s="14"/>
      <c r="B124" s="85" t="s">
        <v>135</v>
      </c>
      <c r="C124" s="86"/>
      <c r="D124" s="86"/>
      <c r="E124" s="56">
        <f>E61+E83+E98+E100+E101</f>
        <v>65317.440000000002</v>
      </c>
    </row>
    <row r="125" spans="1:9" ht="15">
      <c r="A125" s="14"/>
      <c r="B125" s="85" t="s">
        <v>136</v>
      </c>
      <c r="C125" s="86"/>
      <c r="D125" s="86"/>
      <c r="E125" s="56">
        <f>SUM(E103:E120)</f>
        <v>41779.939500999993</v>
      </c>
    </row>
    <row r="126" spans="1:9" ht="15">
      <c r="A126" s="14"/>
      <c r="B126" s="85" t="s">
        <v>20</v>
      </c>
      <c r="C126" s="86"/>
      <c r="D126" s="86"/>
      <c r="E126" s="56">
        <f>E123+E124+E125</f>
        <v>252086.58311849996</v>
      </c>
    </row>
    <row r="127" spans="1:9" ht="14.45" customHeight="1">
      <c r="A127" s="14"/>
      <c r="B127" s="78" t="s">
        <v>262</v>
      </c>
      <c r="C127" s="79"/>
      <c r="D127" s="79"/>
      <c r="E127" s="56">
        <f>E126*64.89</f>
        <v>16357898.378559463</v>
      </c>
    </row>
    <row r="128" spans="1:9" hidden="1">
      <c r="A128" s="14"/>
      <c r="B128" s="80" t="s">
        <v>31</v>
      </c>
      <c r="C128" s="81"/>
      <c r="D128" s="82"/>
      <c r="E128" s="56">
        <f>E129-E127</f>
        <v>0</v>
      </c>
    </row>
    <row r="129" spans="1:6" ht="15">
      <c r="A129" s="23"/>
      <c r="B129" s="83" t="s">
        <v>21</v>
      </c>
      <c r="C129" s="84"/>
      <c r="D129" s="84"/>
      <c r="E129" s="49">
        <f>E127</f>
        <v>16357898.378559463</v>
      </c>
      <c r="F129" s="48"/>
    </row>
    <row r="130" spans="1:6" ht="13.5" customHeight="1">
      <c r="A130" s="55"/>
      <c r="B130" s="52"/>
      <c r="C130" s="53"/>
      <c r="D130" s="53"/>
      <c r="E130" s="54"/>
      <c r="F130" s="48"/>
    </row>
    <row r="131" spans="1:6">
      <c r="A131" s="1"/>
    </row>
    <row r="132" spans="1:6">
      <c r="A132" s="1"/>
      <c r="B132" s="8"/>
      <c r="C132" s="7"/>
      <c r="D132" s="9"/>
      <c r="E132" s="11"/>
    </row>
    <row r="133" spans="1:6">
      <c r="B133" s="1"/>
      <c r="C133" s="1"/>
      <c r="D133" s="1"/>
      <c r="E133" s="1"/>
    </row>
  </sheetData>
  <mergeCells count="34">
    <mergeCell ref="F106:I106"/>
    <mergeCell ref="F120:I120"/>
    <mergeCell ref="B127:D127"/>
    <mergeCell ref="B128:D128"/>
    <mergeCell ref="B129:D129"/>
    <mergeCell ref="B121:D121"/>
    <mergeCell ref="B122:D122"/>
    <mergeCell ref="B123:D123"/>
    <mergeCell ref="B124:D124"/>
    <mergeCell ref="B125:D125"/>
    <mergeCell ref="B126:D126"/>
    <mergeCell ref="B112:B114"/>
    <mergeCell ref="F17:I17"/>
    <mergeCell ref="F18:I23"/>
    <mergeCell ref="F24:I25"/>
    <mergeCell ref="F28:I28"/>
    <mergeCell ref="F30:I30"/>
    <mergeCell ref="A99:E99"/>
    <mergeCell ref="A102:E102"/>
    <mergeCell ref="B103:B105"/>
    <mergeCell ref="B107:B108"/>
    <mergeCell ref="B110:B111"/>
    <mergeCell ref="A86:E86"/>
    <mergeCell ref="A7:E7"/>
    <mergeCell ref="A9:E9"/>
    <mergeCell ref="A11:E11"/>
    <mergeCell ref="A16:E16"/>
    <mergeCell ref="B18:B19"/>
    <mergeCell ref="B21:B22"/>
    <mergeCell ref="B24:B25"/>
    <mergeCell ref="B26:B27"/>
    <mergeCell ref="A33:E33"/>
    <mergeCell ref="A34:E34"/>
    <mergeCell ref="A64:E64"/>
  </mergeCells>
  <pageMargins left="0.35433070866141736" right="0.23622047244094491" top="0.74803149606299213" bottom="0.74803149606299213" header="0.31496062992125984" footer="0.31496062992125984"/>
  <pageSetup paperSize="9" scale="94" orientation="landscape" r:id="rId1"/>
  <headerFooter>
    <oddHeader>&amp;LГранд-СМЕТА</oddHeader>
    <oddFooter>&amp;R&amp;P</oddFooter>
  </headerFooter>
  <rowBreaks count="1" manualBreakCount="1">
    <brk id="109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МОЙ ВАРИАНТ</vt:lpstr>
      <vt:lpstr>'МОЙ ВАРИАНТ'!Заголовки_для_печати</vt:lpstr>
      <vt:lpstr>'МОЙ ВАРИАНТ'!Область_печати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Shulgina</dc:creator>
  <cp:lastModifiedBy>JT213-1</cp:lastModifiedBy>
  <cp:lastPrinted>2023-03-10T04:02:41Z</cp:lastPrinted>
  <dcterms:created xsi:type="dcterms:W3CDTF">2014-05-08T09:51:02Z</dcterms:created>
  <dcterms:modified xsi:type="dcterms:W3CDTF">2024-04-23T08:21:50Z</dcterms:modified>
</cp:coreProperties>
</file>