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60" windowWidth="17790" windowHeight="11310"/>
  </bookViews>
  <sheets>
    <sheet name="МОЙ ВАРИАНТ" sheetId="2" r:id="rId1"/>
  </sheets>
  <definedNames>
    <definedName name="_xlnm.Print_Titles" localSheetId="0">'МОЙ ВАРИАНТ'!$13:$13</definedName>
    <definedName name="_xlnm.Print_Area" localSheetId="0">'МОЙ ВАРИАНТ'!$A$1:$E$112</definedName>
  </definedNames>
  <calcPr calcId="152511"/>
</workbook>
</file>

<file path=xl/calcChain.xml><?xml version="1.0" encoding="utf-8"?>
<calcChain xmlns="http://schemas.openxmlformats.org/spreadsheetml/2006/main">
  <c r="E108" i="2"/>
  <c r="E107" l="1"/>
  <c r="E106"/>
  <c r="E96"/>
  <c r="E94"/>
  <c r="G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90" s="1"/>
  <c r="E23"/>
  <c r="E20"/>
  <c r="E19"/>
  <c r="E15"/>
  <c r="E26" l="1"/>
  <c r="E102" s="1"/>
  <c r="H90"/>
  <c r="E103"/>
  <c r="E27"/>
  <c r="E92"/>
  <c r="E28"/>
  <c r="E29"/>
  <c r="E97" l="1"/>
  <c r="E99" s="1"/>
  <c r="G96"/>
  <c r="E104" l="1"/>
  <c r="E105" s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5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9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3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3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3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3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3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<sst xmlns="http://schemas.openxmlformats.org/spreadsheetml/2006/main" count="267" uniqueCount="245">
  <si>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</si>
  <si>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</si>
  <si>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</si>
  <si>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</si>
  <si>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</si>
  <si>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СБЦ "Инженерно-геологические и инженерно-экологические изыскания для строительства (1999)" табл.60 п.7
(СБЦ103-60-7) </t>
  </si>
  <si>
    <t>прим.1 отбор объединенной пробы (умножение количества точечных проб, составляющих объединенную) К=0,9;</t>
  </si>
  <si>
    <t xml:space="preserve"> </t>
  </si>
  <si>
    <t>ОУ п.8в При выполнении изысканий на территориях (акваториях) со специальным режимом (на полевые работы) К=1,25;</t>
  </si>
  <si>
    <t xml:space="preserve">Радиационное обследование участка площадью: св. 1.0 га - полевые работы, 89(0,1 га) </t>
  </si>
  <si>
    <t xml:space="preserve">СБЦ "Инженерно-геологические и инженерно-экологические изыскания для строительства (1999)" табл.92 п.3-1
(СБЦ103-92-3-1) </t>
  </si>
  <si>
    <t xml:space="preserve">СБЦ "Инженерно-геологические и инженерно-экологические изыскания для строительства (1999)" табл.91 п.1-1
(СБЦ103-91-1-1) </t>
  </si>
  <si>
    <t xml:space="preserve">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 - 20% от стоимости лабораторных работ, 0() </t>
  </si>
  <si>
    <t xml:space="preserve">СБЦ "Инженерно-геологические и инженерно-экологические изыскания для строительства (1999)" табл.86 п.6
(СБЦ103-86-6) </t>
  </si>
  <si>
    <t>Таб.86 Камеральная обработка химических и бактериологических анализов на загрязненность почво-грунтов, воды, льда, снега и донных отложений при инженерно-экологических изысканиях (к стоимости лабораторных работ) К=0,2</t>
  </si>
  <si>
    <t xml:space="preserve">Радиационное обследование участка площадью: св. 1.0 га - камеральные работы, 89(0,1 га) </t>
  </si>
  <si>
    <t xml:space="preserve">СБЦ "Инженерно-геологические и инженерно-экологические изыскания для строительства (1999)" табл.92 п.3-2
(СБЦ103-92-3-2) </t>
  </si>
  <si>
    <t>прим.1 при выполнении поисковой y-съемки по маршруту через 1-2 м К=1,15</t>
  </si>
  <si>
    <t xml:space="preserve">СБЦ "Инженерно-геологические и инженерно-экологические изыскания для строительства (1999)" табл.87 п.2-3
(СБЦ103-87-2-3) </t>
  </si>
  <si>
    <t xml:space="preserve">Составление программы производства работ, средняя глубина исследования: до 5м, исследуемая площадь до 1км2, 1(1 программа) </t>
  </si>
  <si>
    <t xml:space="preserve">СБЦ "Инженерно-геологические и инженерно-экологические изыскания для строительства (1999)" табл.81 п.1-1
(СБЦ103-81-1-1) </t>
  </si>
  <si>
    <t>200*1</t>
  </si>
  <si>
    <t xml:space="preserve">   Итого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</si>
  <si>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</si>
  <si>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</si>
  <si>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</si>
  <si>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</si>
  <si>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>Генеральный директор ООО "УК "Город"</t>
  </si>
  <si>
    <t xml:space="preserve">__________________Румянцев М. В. </t>
  </si>
  <si>
    <t>_____________________Л.И. Шевель</t>
  </si>
  <si>
    <t xml:space="preserve">на выполнение комплекса работ по инженерно-экологическим изысканиям, по адресу: </t>
  </si>
  <si>
    <t xml:space="preserve">Ректор ФГАОУ ВО «Сибирский федеральный университет»  </t>
  </si>
  <si>
    <t>Приложение № 4.31.</t>
  </si>
  <si>
    <t>НДС 20%</t>
  </si>
  <si>
    <t>Итоги по смете</t>
  </si>
  <si>
    <t>Раздел 1. Полевые работы</t>
  </si>
  <si>
    <t>(49,2*89)*1,25</t>
  </si>
  <si>
    <t>Коэффициент, учитывающий дополнительные затраты организаций по выплате заработной платы при выполнении изысканий в районах РФ где установлены рк и сн</t>
  </si>
  <si>
    <t>СБЦ "Инженерно-геологические и инженерно-экологические изыскания для строительства (1999)" ОУ п.8д. т.3-10 К=1,4 ; п.8е К=1,15 . Кобщ=1+(0,4+0,15)=1,55</t>
  </si>
  <si>
    <t>СБЦ "Инженерно-геологические и инженерно-экологические изыскания для строительства (1999)" ОУ п.9, т.4</t>
  </si>
  <si>
    <t>СБЦ "Инженерно-геологические и инженерно-экологические изыскания для строительства (1999)" ОУ п.10, т.5</t>
  </si>
  <si>
    <t>Расходы на организацию и ликвидацию работ - 6%</t>
  </si>
  <si>
    <t>СБЦ "Инженерно-геологические и инженерно-экологические изыскания для строительства (1999)" ОУ п.13, прим.1 К=2,5</t>
  </si>
  <si>
    <t>Расходы на внутренний транспорт при расстоянии от базы 
изыскательской организации, партии, отряда до участка изысканий  
до 5 км, при сметной стоимости полевых изыскательских работ св. 5 до 10 
тыс. руб. ‐ 7,5%</t>
  </si>
  <si>
    <t>Расходы на внешний транспорт при расстоянии проезда от 1000 до  2000 км и продолжительности работ до 1 месяца - 36,4%</t>
  </si>
  <si>
    <t>Раздел 2. Лабораторные работы</t>
  </si>
  <si>
    <t xml:space="preserve">СБЦ "Инженерно-геологические и инженерно-экологические изыскания для строительства (1999)" табл.70 п.1
(СБЦ103-70-01) </t>
  </si>
  <si>
    <t xml:space="preserve">СБЦ "Инженерно-геологические и инженерно-экологические изыскания для строительства (1999)" табл.70 п.2
(СБЦ103-70-02) </t>
  </si>
  <si>
    <t xml:space="preserve">СБЦ "Инженерно-геологические и инженерно-экологические изыскания для строительства (1999)" табл.70 п.3
(СБЦ103-70-03) </t>
  </si>
  <si>
    <t xml:space="preserve">СБЦ "Инженерно-геологические и инженерно-экологические изыскания для строительства (1999)" табл.70 п.5
(СБЦ103-70-05) </t>
  </si>
  <si>
    <t xml:space="preserve">СБЦ "Инженерно-геологические и инженерно-экологические изыскания для строительства (1999)" табл.70 п.6
(СБЦ103-70-06) </t>
  </si>
  <si>
    <t xml:space="preserve">СБЦ "Инженерно-геологические и инженерно-экологические изыскания для строительства (1999)" табл.70 п.7
(СБЦ103-70-07) </t>
  </si>
  <si>
    <t xml:space="preserve">СБЦ "Инженерно-геологические и инженерно-экологические изыскания для строительства (1999)" табл.70 п.8
(СБЦ103-70-08) </t>
  </si>
  <si>
    <t xml:space="preserve">СБЦ "Инженерно-геологические и инженерно-экологические изыскания для строительства (1999)" табл.70 п.9
(СБЦ103-70-09) </t>
  </si>
  <si>
    <t xml:space="preserve">СБЦ "Инженерно-геологические и инженерно-экологические изыскания для строительства (1999)" табл.70 п.10
(СБЦ103-70-10) </t>
  </si>
  <si>
    <t xml:space="preserve">СБЦ "Инженерно-геологические и инженерно-экологические изыскания для строительства (1999)" табл.70 п.11
(СБЦ103-70-11) </t>
  </si>
  <si>
    <t xml:space="preserve">СБЦ "Инженерно-геологические и инженерно-экологические изыскания для строительства (1999)" табл.70 п.12
(СБЦ103-70-12) </t>
  </si>
  <si>
    <t xml:space="preserve">СБЦ "Инженерно-геологические и инженерно-экологические изыскания для строительства (1999)" табл.70 п.13
(СБЦ103-70-13) </t>
  </si>
  <si>
    <t xml:space="preserve">СБЦ "Инженерно-геологические и инженерно-экологические изыскания для строительства (1999)" табл.70 п.16
(СБЦ103-70-16) </t>
  </si>
  <si>
    <t xml:space="preserve">СБЦ "Инженерно-геологические и инженерно-экологические изыскания для строительства (1999)" табл.70 п.17
(СБЦ103-70-17) </t>
  </si>
  <si>
    <t xml:space="preserve">СБЦ "Инженерно-геологические и инженерно-экологические изыскания для строительства (1999)" табл.70 п.18
(СБЦ103-70-18) </t>
  </si>
  <si>
    <t>5,4*5</t>
  </si>
  <si>
    <t xml:space="preserve">СБЦ "Инженерно-геологические и инженерно-экологические изыскания для строительства (1999)" табл.70 п.24
(СБЦ103-70-24) </t>
  </si>
  <si>
    <t xml:space="preserve">СБЦ "Инженерно-геологические и инженерно-экологические изыскания для строительства (1999)" табл.70 п.25
(СБЦ103-70-25) </t>
  </si>
  <si>
    <t xml:space="preserve">СБЦ "Инженерно-геологические и инженерно-экологические изыскания для строительства (1999)" табл.70 п.48
(СБЦ103-70-48) </t>
  </si>
  <si>
    <t xml:space="preserve">СБЦ "Инженерно-геологические и инженерно-экологические изыскания для строительства (1999)" табл.70 п.49
(СБЦ103-70-49) </t>
  </si>
  <si>
    <t xml:space="preserve">СБЦ "Инженерно-геологические и инженерно-экологические изыскания для строительства (1999)" табл.70 п.50
(СБЦ103-70-50) </t>
  </si>
  <si>
    <t xml:space="preserve">СБЦ "Инженерно-геологические и инженерно-экологические изыскания для строительства (1999)" табл.70 п.51
(СБЦ103-70-51) </t>
  </si>
  <si>
    <t xml:space="preserve">СБЦ "Инженерно-геологические и инженерно-экологические изыскания для строительства (1999)" табл.71 п.1
(СБЦ103-71-01) </t>
  </si>
  <si>
    <t>48,8*5</t>
  </si>
  <si>
    <t xml:space="preserve">СБЦ "Инженерно-геологические и инженерно-экологические изыскания для строительства (1999)" табл.71 п.3
(СБЦ103-71-03) </t>
  </si>
  <si>
    <t xml:space="preserve">СБЦ "Инженерно-геологические и инженерно-экологические изыскания для строительства (1999)" табл.71 п.4
(СБЦ103-71-04) </t>
  </si>
  <si>
    <t xml:space="preserve">СБЦ "Инженерно-геологические и инженерно-экологические изыскания для строительства (1999)" табл.71 п.5
(СБЦ103-71-05) </t>
  </si>
  <si>
    <t xml:space="preserve">СБЦ "Инженерно-геологические и инженерно-экологические изыскания для строительства (1999)" табл.71 п.7
(СБЦ103-71-07) </t>
  </si>
  <si>
    <t xml:space="preserve">СБЦ "Инженерно-геологические и инженерно-экологические изыскания для строительства (1999)" табл.71 п.14
(СБЦ103-71-14) </t>
  </si>
  <si>
    <t>Раздел 3. Камеральные работы</t>
  </si>
  <si>
    <t xml:space="preserve">СБЦ "Инженерно-геологические и инженерно-экологические изыскания для строительства (1999)" табл.91 п.1-2
(СБЦ103-91-1-2) </t>
  </si>
  <si>
    <t>(14,8*89)*1,15</t>
  </si>
  <si>
    <t xml:space="preserve">Составление технического отчета (заключения) о результатах выполненных работ,  категория сложности инженерно-геологических условий 3, при стоимости камеральных работ: до 5 тыс. руб. - 25% (1 отчет) </t>
  </si>
  <si>
    <t xml:space="preserve">   Итоги по позициям, введенным в базисных ценах</t>
  </si>
  <si>
    <t xml:space="preserve">СБЦ "Инженерно-геологические и инженерно-экологические изыскания для строительства (1999)" табл.72 п.24
(СБЦ103-72-24) </t>
  </si>
  <si>
    <t xml:space="preserve">СБЦ "Инженерно-геологические и инженерно-экологические изыскания для строительства (1999)" табл.72 п.78
(СБЦ103-72-78) </t>
  </si>
  <si>
    <t xml:space="preserve">СБЦ "Инженерно-геологические и инженерно-экологические изыскания для строительства (1999)" табл.72 п.42
(СБЦ103-72-42) </t>
  </si>
  <si>
    <t xml:space="preserve">СБЦ "Инженерно-геологические и инженерно-экологические изыскания для строительства (1999)" табл.72 п.41
(СБЦ103-72-41) </t>
  </si>
  <si>
    <t xml:space="preserve">СБЦ "Инженерно-геологические и инженерно-экологические изыскания для строительства (1999)" табл.72 п.72
(СБЦ103-72-72) </t>
  </si>
  <si>
    <t xml:space="preserve">СБЦ "Инженерно-геологические и инженерно-экологические изыскания для строительства (1999)" табл.72 п.55
(СБЦ103-72-55) </t>
  </si>
  <si>
    <t xml:space="preserve">СБЦ "Инженерно-геологические и инженерно-экологические изыскания для строительства (1999)" табл.72 п.90
(СБЦ103-72-90) </t>
  </si>
  <si>
    <t xml:space="preserve">СБЦ "Инженерно-геологические и инженерно-экологические изыскания для строительства (1999)" табл.72 п.56
(СБЦ103-72-56) </t>
  </si>
  <si>
    <t xml:space="preserve">СБЦ "Инженерно-геологические и инженерно-экологические изыскания для строительства (1999)" табл.72 п.17
(СБЦ103-72-17) </t>
  </si>
  <si>
    <t xml:space="preserve">СБЦ "Инженерно-геологические и инженерно-экологические изыскания для строительства (1999)" табл.72 п.28
(СБЦ103-72-28) </t>
  </si>
  <si>
    <t xml:space="preserve">СБЦ "Инженерно-геологические и инженерно-экологические изыскания для строительства (1999)" табл.72 п.18
(СБЦ103-72-18) </t>
  </si>
  <si>
    <t xml:space="preserve">СБЦ "Инженерно-геологические и инженерно-экологические изыскания для строительства (1999)" табл.72 п.8
(СБЦ103-72-8) </t>
  </si>
  <si>
    <t xml:space="preserve">СБЦ "Инженерно-геологические и инженерно-экологические изыскания для строительства (1999)" табл.72 п.89
(СБЦ103-72-89) </t>
  </si>
  <si>
    <t>СБЦ "Инженерно-геологические и инженерно-экологические изыскания для строительства (1999)" табл.72 п.84
(СБЦ103-72-84)</t>
  </si>
  <si>
    <t>СБЦ "Инженерно-геологические и инженерно-экологические изыскания для строительства (1999)" табл.72 п.12
(СБЦ103-72-12)</t>
  </si>
  <si>
    <t>СБЦ "Инженерно-геологические и инженерно-экологические изыскания для строительства (1999)" табл.72 п.7
(СБЦ103-72-07)</t>
  </si>
  <si>
    <r>
      <t xml:space="preserve">СБЦ "Инженерно-геологические и инженерно-экологические изыскания для строительства (1999)" табл.60 п.2                                           </t>
    </r>
    <r>
      <rPr>
        <i/>
        <sz val="9"/>
        <rFont val="Arial"/>
        <family val="2"/>
        <charset val="204"/>
      </rPr>
      <t>прим.1 при отборе пробы без использования плавсредств К=0,5 ОУ п.8в                                    При выполнении изысканий на территориях (акваториях) со специальным режимом (на полевые работы) К=1,25;</t>
    </r>
  </si>
  <si>
    <t>0,06*(38,81+14,25+5473,5+334,38+439,57)*2,5</t>
  </si>
  <si>
    <t>СБЦ "Инженерно-геологические и инженерно-экологические изыскания для строительства (1999)" табл.73 п.1
(СБЦ103-73-01)</t>
  </si>
  <si>
    <t>СБЦ "Инженерно-геологические и инженерно-экологические изыскания для строительства (1999)" табл.74 п.7
(СБЦ103-74-07)</t>
  </si>
  <si>
    <t>СБЦ "Инженерно-геологические и инженерно-экологические изыскания для строительства (1999)" табл.74 п.8
(СБЦ103-74-08)</t>
  </si>
  <si>
    <t>СБЦ "Инженерно-геологические и инженерно-экологические изыскания для строительства (1999)" табл.74 п.11
(СБЦ103-74-11)</t>
  </si>
  <si>
    <t>СБЦ "Инженерно-геологические и инженерно-экологические изыскания для строительства (1999)" табл.74 п.14
(СБЦ103-74-14)</t>
  </si>
  <si>
    <t>СБЦ "Инженерно-геологические и инженерно-экологические изыскания для строительства (1999)" табл.74 п.15
(СБЦ103-74-15)</t>
  </si>
  <si>
    <t>СБЦ "Инженерно-геологические и инженерно-экологические изыскания для строительства (1999)" табл.74 п.19
(СБЦ103-74-19)</t>
  </si>
  <si>
    <t>СБЦ "Инженерно-геологические и инженерно-экологические изыскания для строительства (1999)" табл.74 п.21
(СБЦ103-74-21)</t>
  </si>
  <si>
    <t>СБЦ "Инженерно-геологические и инженерно-экологические изыскания для строительства (1999)" табл.74 п.28
(СБЦ103-74-28)</t>
  </si>
  <si>
    <t>СБЦ "Инженерно-геологические и инженерно-экологические изыскания для строительства (1999)" табл.74 п.29
(СБЦ103-74-29)</t>
  </si>
  <si>
    <t>СБЦ "Инженерно-геологические и инженерно-экологические изыскания для строительства (1999)" табл.74 п.38
(СБЦ103-74-38)</t>
  </si>
  <si>
    <t>СБЦ "Инженерно-геологические и инженерно-экологические изыскания для строительства (1999)" табл.74 п.39
(СБЦ103-74-39)</t>
  </si>
  <si>
    <t>СБЦ "Инженерно-геологические и инженерно-экологические изыскания для строительства (1999)" табл.74 п.53
(СБЦ103-74-53)</t>
  </si>
  <si>
    <t>СБЦ "Инженерно-геологические и инженерно-экологические изыскания для строительства (1999)" табл.74 п.49
(СБЦ103-74-49)</t>
  </si>
  <si>
    <t>СБЦ "Инженерно-геологические и инженерно-экологические изыскания для строительства (1999)" табл.74 п.54
(СБЦ103-74-54)</t>
  </si>
  <si>
    <t>СБЦ "Инженерно-геологические и инженерно-экологические изыскания для строительства (1999)" табл.75 п.5
(СБЦ103-75-05)</t>
  </si>
  <si>
    <t xml:space="preserve">      Итого Поз. 1-8</t>
  </si>
  <si>
    <t xml:space="preserve">      Итого Поз. 9-68</t>
  </si>
  <si>
    <t xml:space="preserve">      Итого Поз. 69-74</t>
  </si>
  <si>
    <t>СБЦ "Инженерно-геологические и инженерно-экологические изыскания для строительства (1999)"ОУ п.8д. т.3-3 К=1,1 ; п.8е К=1,15 . Кобщ=1+(0,1+0,15)=1,25</t>
  </si>
  <si>
    <t xml:space="preserve">Отбор точечных проб для анализа на загрязненность по химическим показателям: почво-грунтов (методами конверта, по диагонали и т.п.), 8(1 проба) </t>
  </si>
  <si>
    <t>(6,9*8)*0,9*1,25</t>
  </si>
  <si>
    <t>(7,6*5)*0,5*1,25</t>
  </si>
  <si>
    <t>Отбор точечных проб для анализа на загрязненность по химическим показателям: воды с глубины более 0,5 м, 5(1 проба) (Прим)</t>
  </si>
  <si>
    <t xml:space="preserve">Измерение потока радона на участке - полевые работы, 1,5 (20 точек) </t>
  </si>
  <si>
    <t>(535*1,5)*1,25</t>
  </si>
  <si>
    <t>(62,1+23,75+5473,5+1003,13)*0,55</t>
  </si>
  <si>
    <t>(62,1+23,75+5473,5+1003,13)*0,075</t>
  </si>
  <si>
    <t>(62,1+23,75+5473,5+1003,13+492,19)*0,364</t>
  </si>
  <si>
    <t>10,3*8</t>
  </si>
  <si>
    <t xml:space="preserve">Единичные определения химического состава грунтов (почв):Общее содержание органического углерода весовым
методом мокрого сжигания, 8(1 образец) </t>
  </si>
  <si>
    <t>3,1*5</t>
  </si>
  <si>
    <t>(сумма по поз.9-68)*0,25</t>
  </si>
  <si>
    <t>(сумма по поз.9-68)*0,2</t>
  </si>
  <si>
    <t xml:space="preserve">Измерение потока радона на участке - камеральные работы, 1,5(20 точек) </t>
  </si>
  <si>
    <t>(161*1,5)</t>
  </si>
  <si>
    <t>0,25*(2619,18+1514,78+241,5)</t>
  </si>
  <si>
    <t>(2619,18+1514,78+241,5+1093,87+200)*0,25</t>
  </si>
  <si>
    <t>15,2*8</t>
  </si>
  <si>
    <t xml:space="preserve">Единичные определения химического состава грунтов (почв): Общая (валовая) сера с кислотным разложением
или спеканием (по Ручик), 8(1 образец) </t>
  </si>
  <si>
    <t xml:space="preserve">Единичные определения химического состава грунтов (почв): Сера сульфатов из отдельной навески , 8(1 образец) </t>
  </si>
  <si>
    <t xml:space="preserve">Единичные определения химического состава грунтов (почв): Общий фосфор с приготовлением шкалы для колориметрирования, 8 (1 образец) </t>
  </si>
  <si>
    <t xml:space="preserve">Единичные определения химического состава грунтов (почв): Аморфный кремнезем с извлечением двукратной
обработкой, 8(1 образец) </t>
  </si>
  <si>
    <t xml:space="preserve">Единичные определения химического состава грунтов (почв): Хлориды из отдельной навески, 8(1 образец) </t>
  </si>
  <si>
    <t xml:space="preserve">Единичные определения химического состава грунтов (почв): Нерастворимый в кислоте остаток, 8(1 образец) </t>
  </si>
  <si>
    <t xml:space="preserve">Единичные определения химического состава грунтов (почв): Углекислота по Фрезениусу или волюметрическим
методом, 8(1 образец) </t>
  </si>
  <si>
    <t xml:space="preserve">Единичные определения химического состава грунтов (почв): Натрий и калий на пламенном фотометре с разложением кислотами или спеканием, 8(1 образец) </t>
  </si>
  <si>
    <t xml:space="preserve">Единичные определения химического состава грунтов (почв): Органические вещества (гумус) методом прокаливания при температурах 120, 230, 420 °С последовательно, 8(1 образец) </t>
  </si>
  <si>
    <t xml:space="preserve">Единичные определения химического состава грунтов (почв): Гигроскопическая влажность , 8(1 образец) </t>
  </si>
  <si>
    <t xml:space="preserve">Единичные определения химического состава грунтов (почв): Потери при прокаливании при температурах 800 -
1000 °С , 8(1 образец) </t>
  </si>
  <si>
    <t xml:space="preserve">Единичные определения химического состава грунтов (почв): Азот аммонийный в почвах по Несслеру, 8(1 образец) </t>
  </si>
  <si>
    <t xml:space="preserve">Единичные определения химического состава грунтов (почв): Азот нитратный в почве дисульфофеноловым методом , 8(1 образец) </t>
  </si>
  <si>
    <t xml:space="preserve">Единичные определения химического состава грунтов (почв): Азот легкогидролизуемых соединений в почвах по
Тюрину-Кононовой, 8(1 образец) </t>
  </si>
  <si>
    <t xml:space="preserve">Единичные определения химического состава грунтов (почв): Железо закисное в 0,1 Н в сернокислой вытяжке, 8(1 образец) </t>
  </si>
  <si>
    <t xml:space="preserve">Единичные определения химического состава грунтов (почв): Железо общее в 0,1 Н в сернокислой вытяжке, 8(1 образец) </t>
  </si>
  <si>
    <t xml:space="preserve">Единичные определения химического состава грунтов (почв):  Сумма полуторных окислов весовым методом , 8(1 образец) </t>
  </si>
  <si>
    <t xml:space="preserve">Единичные определения химического состава грунтов (почв): Окислы кремния, железа и алюминия в вытяжке по
Тамму , 8(1 образец) </t>
  </si>
  <si>
    <t xml:space="preserve">Единичные определения химического состава грунтов (почв): Кальций и магний в солянокислой вытяжке по
Гедройцу , 8(1 образец) </t>
  </si>
  <si>
    <t xml:space="preserve">Единичные определения химического состава грунтов (почв): Карбонаты в почвах ацидиметрическим методом , 8(1 образец) </t>
  </si>
  <si>
    <t xml:space="preserve">Комплексные исследования химического состава грунтов (почв): Анализ водной вытяжки с определением по разности суммы натрия и калия, 8(1 образец) </t>
  </si>
  <si>
    <t xml:space="preserve">Комплексные исследования химического состава грунтов (почв): Сокращенный анализ
водной вытяжки (для почв), 8(1 образец) </t>
  </si>
  <si>
    <t xml:space="preserve">Комплексные исследования химического состава грунтов (почв): Сокращенный анализ
водной вытяжки с дополнительным определением сульфатов, 8(1 образец) </t>
  </si>
  <si>
    <t xml:space="preserve">Комплексные исследования химического состава грунтов (почв): Анализ солянокислой
вытяжки, 8(1 образец) </t>
  </si>
  <si>
    <t xml:space="preserve">Комплексные исследования химического состава грунтов (почв): Валовой анализ грунтов и почв, анализ нерастворимого остатка, 8(1 образец) </t>
  </si>
  <si>
    <t xml:space="preserve">Комплексные исследования химического состава грунтов (почв):Краткий анализ грунтов с определением органического углерода методом мокрого сжигания по Кнопу, 8(1 образец) </t>
  </si>
  <si>
    <t>33,4*8</t>
  </si>
  <si>
    <t>162,1*8</t>
  </si>
  <si>
    <t>58,9*8</t>
  </si>
  <si>
    <t>26,3*8</t>
  </si>
  <si>
    <t>19,1*8</t>
  </si>
  <si>
    <t>8*8</t>
  </si>
  <si>
    <t>13,8*8</t>
  </si>
  <si>
    <t>53,8*8</t>
  </si>
  <si>
    <t>7,2*8</t>
  </si>
  <si>
    <t>8,9*8</t>
  </si>
  <si>
    <t>12,2*8</t>
  </si>
  <si>
    <t>2,2*8</t>
  </si>
  <si>
    <t>2,5*8</t>
  </si>
  <si>
    <t>8,6*8</t>
  </si>
  <si>
    <t>20,5*8</t>
  </si>
  <si>
    <t>7,6*8</t>
  </si>
  <si>
    <t>9,5*8</t>
  </si>
  <si>
    <t>5,3*8</t>
  </si>
  <si>
    <t>33,6*8</t>
  </si>
  <si>
    <t>19,9*8</t>
  </si>
  <si>
    <t>14,4*8</t>
  </si>
  <si>
    <t>2,6*5</t>
  </si>
  <si>
    <t>4,1*5</t>
  </si>
  <si>
    <t>4,5*5</t>
  </si>
  <si>
    <t>2,9*5</t>
  </si>
  <si>
    <t>10,3*5</t>
  </si>
  <si>
    <t>2,7*5</t>
  </si>
  <si>
    <t>7,4*5</t>
  </si>
  <si>
    <t>4,6*5</t>
  </si>
  <si>
    <t>7,1*5</t>
  </si>
  <si>
    <t>7,9*5</t>
  </si>
  <si>
    <t>3*5</t>
  </si>
  <si>
    <t>0,8*5</t>
  </si>
  <si>
    <t>1,4*5</t>
  </si>
  <si>
    <t>96,2*5</t>
  </si>
  <si>
    <t>152,3*5</t>
  </si>
  <si>
    <t>106*5</t>
  </si>
  <si>
    <t>100,7*5</t>
  </si>
  <si>
    <t>156,2*5</t>
  </si>
  <si>
    <t>93,7*5</t>
  </si>
  <si>
    <t>105,7*5</t>
  </si>
  <si>
    <t>133,5*5</t>
  </si>
  <si>
    <t>77*5</t>
  </si>
  <si>
    <t>135,2*5</t>
  </si>
  <si>
    <t>41,2*5</t>
  </si>
  <si>
    <t>25,4*5</t>
  </si>
  <si>
    <t>Определение коррозионной активности грунтов и воды: Коррозионная активность грунтов и грунтовых вод по отношению к бетону, 5(1 проба)</t>
  </si>
  <si>
    <t>Построение градуировочных графиков по ингредиентам: ингредиент - Цветность , 5(1 проба)</t>
  </si>
  <si>
    <t>Построение градуировочных графиков по ингредиентам: ингредиент - Прозрачность , 5(1 проба)</t>
  </si>
  <si>
    <t>Построение градуировочных графиков по ингредиентам: ингредиент - Хлориды, 5(1 проба)</t>
  </si>
  <si>
    <t>Построение градуировочных графиков по ингредиентам: ингредиент - Сухой остаток, 5(1 проба)</t>
  </si>
  <si>
    <t>Построение градуировочных графиков по ингредиентам: ингредиент - Сульфаты, 5(1 проба)</t>
  </si>
  <si>
    <t>Построение градуировочных графиков по ингредиентам: ингредиент - нитриты, 5(1 проба)</t>
  </si>
  <si>
    <t>Построение градуировочных графиков по ингредиентам: ингредиент - нитраты, 5(1 проба)</t>
  </si>
  <si>
    <t>Построение градуировочных графиков по ингредиентам: ингредиент - Магний, 5(1 проба)</t>
  </si>
  <si>
    <t>Построение градуировочных графиков по ингредиентам: ингредиент - Концентрация водородных ионов - рН, 5(1 проба)</t>
  </si>
  <si>
    <t>Построение градуировочных графиков по ингредиентам: ингредиент - Карбонат-ион, 5(1 проба)</t>
  </si>
  <si>
    <t>Построение градуировочных графиков по ингредиентам: ингредиент - кальций, 5(1 проба)</t>
  </si>
  <si>
    <t>Построение градуировочных графиков по ингредиентам: ингредиент - Жесткость общая, 5(1 проба)</t>
  </si>
  <si>
    <t>Построение градуировочных графиков по ингредиентам: ингредиент - Железо общее, 5(1 проба)</t>
  </si>
  <si>
    <t>Построение градуировочных графиков по ингредиентам: ингредиент - Гидрокарбонаты, 5(1 проба)</t>
  </si>
  <si>
    <t>Комплексные исследования химического состава воды: Полный анализ воды, 5(1 проба)</t>
  </si>
  <si>
    <t xml:space="preserve">Единичные определения химического состава воды: расчетный метод, %-эквивалент ионов минерального состава воды, 5(1 проба) </t>
  </si>
  <si>
    <t xml:space="preserve">Единичные определения химического состава воды: фотометрический метод , ингредиент - цветность, 5(1 проба) </t>
  </si>
  <si>
    <t xml:space="preserve">Единичные определения химического состава воды: объемный метод, ингредиент - карбонат-ион, 5(1 проба) </t>
  </si>
  <si>
    <t xml:space="preserve">Единичные определения химического состава воды: весовой метод, ингредиент - магний, 5(1 проба) </t>
  </si>
  <si>
    <t xml:space="preserve">Единичные определения химического состава воды: трилонометрический метод, ингредиент - кальций, 5(1 проба) </t>
  </si>
  <si>
    <t xml:space="preserve">Единичные определения химического состава воды: простым выпариванием, ингредиент - сухой остаток, 5(1 проба) </t>
  </si>
  <si>
    <t xml:space="preserve">Единичные определения химического состава воды: весовой метод, взвешенные вещества (мутность), 5(1 проба) </t>
  </si>
  <si>
    <t xml:space="preserve">Единичные определения химического состава воды: весовой метод, ингредиент - сульфаты, 5(1 проба) </t>
  </si>
  <si>
    <t xml:space="preserve">Единичные определения химического состава воды: объемный метод, ингредиент - хлориды, 5(1 проба) </t>
  </si>
  <si>
    <t xml:space="preserve">Единичные определения химического состава воды: колоримерический метод, ингредиент - нитраты, 5(1 проба) </t>
  </si>
  <si>
    <t xml:space="preserve">Единичные определения химического состава воды: колоримерический метод, ингредиент - нитриты, 5(1 проба) </t>
  </si>
  <si>
    <t xml:space="preserve">Единичные определения химического состава воды: трехкратное определение кислорода, аэрация, фильтрование, Б.П.К.-5, биологическое потребление кислорода, 5(1 проба) </t>
  </si>
  <si>
    <t xml:space="preserve">Единичные определения химического состава воды: колориметрический метод, ингредиент - концентрация водородных ионов-рН, 5(1 проба) </t>
  </si>
  <si>
    <t xml:space="preserve">Единичные определения химического состава воды: тригонометрический метод, ингредиент - Жесткость общая , 5(1 проба) </t>
  </si>
  <si>
    <t xml:space="preserve">Единичные определения химического состава воды: колориметрический метод, ингредиент - железо общее, 5(1 проба) </t>
  </si>
  <si>
    <t xml:space="preserve">Единичные определения химического состава воды: колориметрический метод, ингредиент -гидрокарбонат-ион, 5(1 проба) </t>
  </si>
  <si>
    <t>СМЕТА     №9</t>
  </si>
  <si>
    <t xml:space="preserve">   Всего c учетом  4 кв 2023 (ИЗ), Письмо Минстроя России от 28.11.2023 №73528-ИФ/09, прил.4 К=64,89</t>
  </si>
  <si>
    <t>Красноярский край, г. Норильск, пр. Ленинский, 13</t>
  </si>
  <si>
    <t>Итого по расчету: 2 449 380,03 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</si>
</sst>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164" fontId="17" fillId="0" borderId="0" applyFont="0" applyFill="0" applyBorder="0" applyAlignment="0" applyProtection="0"/>
  </cellStyleXfs>
  <cellXfs count="60">
    <xf numFmtId="0" fontId="0" fillId="0" borderId="0" xfId="0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2" fillId="0" borderId="0" xfId="4" applyFont="1" applyFill="1" applyBorder="1">
      <alignment horizontal="center"/>
    </xf>
    <xf numFmtId="0" fontId="2" fillId="0" borderId="0" xfId="4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2" fillId="0" borderId="4" xfId="3" applyFill="1" applyBorder="1">
      <alignment horizontal="center" wrapText="1"/>
    </xf>
    <xf numFmtId="0" fontId="2" fillId="0" borderId="5" xfId="3" applyFill="1" applyBorder="1" applyAlignment="1">
      <alignment horizontal="center" wrapText="1"/>
    </xf>
    <xf numFmtId="0" fontId="3" fillId="0" borderId="4" xfId="0" applyFont="1" applyFill="1" applyBorder="1" applyAlignment="1">
      <alignment vertical="top" wrapText="1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14" fillId="0" borderId="6" xfId="5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6" xfId="0" applyNumberFormat="1" applyFont="1" applyFill="1" applyBorder="1" applyAlignment="1">
      <alignment horizontal="right" vertical="top" wrapText="1"/>
    </xf>
    <xf numFmtId="0" fontId="4" fillId="0" borderId="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2" fontId="2" fillId="0" borderId="4" xfId="0" applyNumberFormat="1" applyFont="1" applyFill="1" applyBorder="1" applyAlignment="1">
      <alignment horizontal="right" vertical="top" wrapText="1"/>
    </xf>
    <xf numFmtId="2" fontId="14" fillId="0" borderId="6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0" fontId="10" fillId="0" borderId="0" xfId="0" applyFont="1"/>
    <xf numFmtId="2" fontId="10" fillId="0" borderId="0" xfId="0" applyNumberFormat="1" applyFont="1" applyFill="1"/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64" fontId="2" fillId="0" borderId="4" xfId="6" applyFont="1" applyFill="1" applyBorder="1" applyAlignment="1">
      <alignment horizontal="right" vertical="top" wrapText="1"/>
    </xf>
    <xf numFmtId="164" fontId="4" fillId="0" borderId="1" xfId="6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</cellXfs>
  <cellStyles count="7">
    <cellStyle name="Итоги" xfId="1"/>
    <cellStyle name="ЛокСмета" xfId="2"/>
    <cellStyle name="Обычный" xfId="0" builtinId="0"/>
    <cellStyle name="ПИР" xfId="3"/>
    <cellStyle name="Титул" xfId="4"/>
    <cellStyle name="Финансовый" xfId="6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showGridLines="0" tabSelected="1" view="pageBreakPreview" topLeftCell="A93" zoomScale="96" zoomScaleNormal="80" zoomScaleSheetLayoutView="96" workbookViewId="0">
      <selection activeCell="M103" sqref="M103"/>
    </sheetView>
  </sheetViews>
  <sheetFormatPr defaultColWidth="8.85546875" defaultRowHeight="12.75" outlineLevelRow="1"/>
  <cols>
    <col min="1" max="1" width="4.28515625" style="1" customWidth="1"/>
    <col min="2" max="2" width="46.140625" style="1" customWidth="1"/>
    <col min="3" max="3" width="46.42578125" style="1" customWidth="1"/>
    <col min="4" max="4" width="29.140625" style="1" customWidth="1"/>
    <col min="5" max="5" width="15.5703125" style="1" customWidth="1"/>
    <col min="6" max="9" width="8.85546875" style="1"/>
    <col min="10" max="10" width="16" style="1" customWidth="1"/>
    <col min="11" max="16384" width="8.85546875" style="1"/>
  </cols>
  <sheetData>
    <row r="1" spans="1:6" hidden="1" outlineLevel="1">
      <c r="D1" s="2" t="s">
        <v>32</v>
      </c>
    </row>
    <row r="2" spans="1:6" ht="14.45" hidden="1" customHeight="1" outlineLevel="1">
      <c r="C2" s="3"/>
      <c r="D2" s="4" t="s">
        <v>24</v>
      </c>
    </row>
    <row r="3" spans="1:6" ht="24.6" hidden="1" customHeight="1" outlineLevel="1">
      <c r="A3" s="5" t="s">
        <v>25</v>
      </c>
      <c r="B3" s="5"/>
      <c r="C3" s="6"/>
      <c r="D3" s="5" t="s">
        <v>26</v>
      </c>
      <c r="E3" s="6"/>
    </row>
    <row r="4" spans="1:6" ht="13.5" hidden="1" customHeight="1" outlineLevel="1">
      <c r="A4" s="5" t="s">
        <v>31</v>
      </c>
      <c r="B4" s="5"/>
      <c r="C4" s="7"/>
      <c r="D4" s="5" t="s">
        <v>27</v>
      </c>
      <c r="E4" s="7"/>
    </row>
    <row r="5" spans="1:6" ht="23.25" hidden="1" customHeight="1" outlineLevel="1">
      <c r="A5" s="5" t="s">
        <v>28</v>
      </c>
      <c r="B5" s="5"/>
      <c r="C5" s="7"/>
      <c r="D5" s="5" t="s">
        <v>29</v>
      </c>
      <c r="E5" s="7"/>
    </row>
    <row r="6" spans="1:6" ht="19.149999999999999" customHeight="1" collapsed="1">
      <c r="A6" s="47" t="s">
        <v>241</v>
      </c>
      <c r="B6" s="47"/>
      <c r="C6" s="47"/>
      <c r="D6" s="47"/>
      <c r="E6" s="47"/>
    </row>
    <row r="7" spans="1:6" ht="0.75" customHeight="1">
      <c r="A7" s="8"/>
      <c r="B7" s="8"/>
      <c r="C7" s="8"/>
      <c r="D7" s="8"/>
      <c r="E7" s="8"/>
    </row>
    <row r="8" spans="1:6" ht="17.45" customHeight="1">
      <c r="A8" s="48" t="s">
        <v>30</v>
      </c>
      <c r="B8" s="48"/>
      <c r="C8" s="48"/>
      <c r="D8" s="48"/>
      <c r="E8" s="48"/>
    </row>
    <row r="9" spans="1:6" s="36" customFormat="1" ht="16.5" customHeight="1">
      <c r="A9" s="49" t="s">
        <v>243</v>
      </c>
      <c r="B9" s="49"/>
      <c r="C9" s="49"/>
      <c r="D9" s="49"/>
      <c r="E9" s="49"/>
    </row>
    <row r="10" spans="1:6" ht="15" customHeight="1" outlineLevel="1">
      <c r="A10" s="9" t="s">
        <v>244</v>
      </c>
      <c r="B10" s="10"/>
      <c r="C10" s="10"/>
      <c r="D10" s="10"/>
      <c r="E10" s="10"/>
    </row>
    <row r="11" spans="1:6" ht="5.25" customHeight="1">
      <c r="A11" s="8"/>
      <c r="B11" s="8"/>
      <c r="C11" s="11"/>
      <c r="D11" s="11"/>
      <c r="E11" s="12"/>
    </row>
    <row r="12" spans="1:6" ht="79.900000000000006" customHeight="1">
      <c r="A12" s="13" t="s">
        <v>0</v>
      </c>
      <c r="B12" s="14" t="s">
        <v>1</v>
      </c>
      <c r="C12" s="14" t="s">
        <v>2</v>
      </c>
      <c r="D12" s="15" t="s">
        <v>3</v>
      </c>
      <c r="E12" s="15" t="s">
        <v>4</v>
      </c>
    </row>
    <row r="13" spans="1:6">
      <c r="A13" s="16">
        <v>1</v>
      </c>
      <c r="B13" s="17">
        <v>2</v>
      </c>
      <c r="C13" s="17">
        <v>3</v>
      </c>
      <c r="D13" s="16">
        <v>4</v>
      </c>
      <c r="E13" s="16">
        <v>5</v>
      </c>
    </row>
    <row r="14" spans="1:6" ht="21" customHeight="1">
      <c r="A14" s="50" t="s">
        <v>35</v>
      </c>
      <c r="B14" s="51"/>
      <c r="C14" s="51"/>
      <c r="D14" s="51"/>
      <c r="E14" s="51"/>
    </row>
    <row r="15" spans="1:6" ht="51">
      <c r="A15" s="18">
        <v>1</v>
      </c>
      <c r="B15" s="52" t="s">
        <v>118</v>
      </c>
      <c r="C15" s="19" t="s">
        <v>5</v>
      </c>
      <c r="D15" s="20" t="s">
        <v>119</v>
      </c>
      <c r="E15" s="29">
        <f>(6.9*8)*0.9*1.25</f>
        <v>62.100000000000009</v>
      </c>
      <c r="F15" s="1">
        <v>8</v>
      </c>
    </row>
    <row r="16" spans="1:6" ht="36" outlineLevel="1">
      <c r="A16" s="22"/>
      <c r="B16" s="53"/>
      <c r="C16" s="23" t="s">
        <v>6</v>
      </c>
      <c r="D16" s="24"/>
      <c r="E16" s="30" t="s">
        <v>7</v>
      </c>
    </row>
    <row r="17" spans="1:6" ht="36" outlineLevel="1">
      <c r="A17" s="22"/>
      <c r="B17" s="53"/>
      <c r="C17" s="23" t="s">
        <v>8</v>
      </c>
      <c r="D17" s="24"/>
      <c r="E17" s="30" t="s">
        <v>7</v>
      </c>
    </row>
    <row r="18" spans="1:6" outlineLevel="1">
      <c r="A18" s="22"/>
      <c r="B18" s="54"/>
      <c r="C18" s="23"/>
      <c r="D18" s="24"/>
      <c r="E18" s="30" t="s">
        <v>7</v>
      </c>
    </row>
    <row r="19" spans="1:6" ht="111.75" customHeight="1">
      <c r="A19" s="18">
        <v>2</v>
      </c>
      <c r="B19" s="38" t="s">
        <v>121</v>
      </c>
      <c r="C19" s="19" t="s">
        <v>96</v>
      </c>
      <c r="D19" s="20" t="s">
        <v>120</v>
      </c>
      <c r="E19" s="21">
        <f>(7.6*5)*0.5*1.25</f>
        <v>23.75</v>
      </c>
      <c r="F19" s="1">
        <v>5</v>
      </c>
    </row>
    <row r="20" spans="1:6" ht="51">
      <c r="A20" s="18">
        <v>3</v>
      </c>
      <c r="B20" s="52" t="s">
        <v>9</v>
      </c>
      <c r="C20" s="19" t="s">
        <v>10</v>
      </c>
      <c r="D20" s="20" t="s">
        <v>36</v>
      </c>
      <c r="E20" s="29">
        <f>(49.2*89)*1.25</f>
        <v>5473.5</v>
      </c>
    </row>
    <row r="21" spans="1:6" ht="36" outlineLevel="1">
      <c r="A21" s="22"/>
      <c r="B21" s="53"/>
      <c r="C21" s="23" t="s">
        <v>8</v>
      </c>
      <c r="D21" s="24"/>
      <c r="E21" s="30" t="s">
        <v>7</v>
      </c>
    </row>
    <row r="22" spans="1:6" outlineLevel="1">
      <c r="A22" s="22"/>
      <c r="B22" s="54"/>
      <c r="C22" s="23"/>
      <c r="D22" s="24"/>
      <c r="E22" s="30" t="s">
        <v>7</v>
      </c>
    </row>
    <row r="23" spans="1:6" ht="51">
      <c r="A23" s="18">
        <v>4</v>
      </c>
      <c r="B23" s="52" t="s">
        <v>122</v>
      </c>
      <c r="C23" s="19" t="s">
        <v>11</v>
      </c>
      <c r="D23" s="20" t="s">
        <v>123</v>
      </c>
      <c r="E23" s="29">
        <f>(535*1.5)*1.25</f>
        <v>1003.125</v>
      </c>
      <c r="F23" s="1">
        <v>30</v>
      </c>
    </row>
    <row r="24" spans="1:6" ht="36" outlineLevel="1">
      <c r="A24" s="22"/>
      <c r="B24" s="53"/>
      <c r="C24" s="23" t="s">
        <v>8</v>
      </c>
      <c r="D24" s="24"/>
      <c r="E24" s="25" t="s">
        <v>7</v>
      </c>
    </row>
    <row r="25" spans="1:6" outlineLevel="1">
      <c r="A25" s="22"/>
      <c r="B25" s="54"/>
      <c r="C25" s="23"/>
      <c r="D25" s="24"/>
      <c r="E25" s="25" t="s">
        <v>7</v>
      </c>
    </row>
    <row r="26" spans="1:6" s="36" customFormat="1" ht="63" customHeight="1">
      <c r="A26" s="31">
        <v>5</v>
      </c>
      <c r="B26" s="32" t="s">
        <v>37</v>
      </c>
      <c r="C26" s="33" t="s">
        <v>38</v>
      </c>
      <c r="D26" s="34" t="s">
        <v>124</v>
      </c>
      <c r="E26" s="35">
        <f>(E15+E19+E20+E23)*0.55</f>
        <v>3609.3612500000004</v>
      </c>
    </row>
    <row r="27" spans="1:6" s="36" customFormat="1" ht="106.5" customHeight="1">
      <c r="A27" s="31">
        <v>6</v>
      </c>
      <c r="B27" s="38" t="s">
        <v>43</v>
      </c>
      <c r="C27" s="33" t="s">
        <v>39</v>
      </c>
      <c r="D27" s="34" t="s">
        <v>125</v>
      </c>
      <c r="E27" s="35">
        <f>(E15+E19+E20+E23)*0.075</f>
        <v>492.18562500000002</v>
      </c>
    </row>
    <row r="28" spans="1:6" s="36" customFormat="1" ht="63.75" customHeight="1">
      <c r="A28" s="31">
        <v>7</v>
      </c>
      <c r="B28" s="38" t="s">
        <v>44</v>
      </c>
      <c r="C28" s="33" t="s">
        <v>40</v>
      </c>
      <c r="D28" s="34" t="s">
        <v>126</v>
      </c>
      <c r="E28" s="35">
        <f>(E15+E19+E20+E23+E27)*0.364</f>
        <v>2567.8964675000002</v>
      </c>
    </row>
    <row r="29" spans="1:6" s="36" customFormat="1" ht="53.25" customHeight="1">
      <c r="A29" s="31">
        <v>8</v>
      </c>
      <c r="B29" s="38" t="s">
        <v>41</v>
      </c>
      <c r="C29" s="33" t="s">
        <v>42</v>
      </c>
      <c r="D29" s="34" t="s">
        <v>97</v>
      </c>
      <c r="E29" s="35">
        <f>0.06*(E15+E19+E20+E23+E27)*2.5</f>
        <v>1058.19909375</v>
      </c>
    </row>
    <row r="30" spans="1:6" ht="21" customHeight="1">
      <c r="A30" s="50" t="s">
        <v>45</v>
      </c>
      <c r="B30" s="51"/>
      <c r="C30" s="51"/>
      <c r="D30" s="51"/>
      <c r="E30" s="51"/>
    </row>
    <row r="31" spans="1:6" ht="55.5" customHeight="1">
      <c r="A31" s="18">
        <v>9</v>
      </c>
      <c r="B31" s="38" t="s">
        <v>128</v>
      </c>
      <c r="C31" s="19" t="s">
        <v>46</v>
      </c>
      <c r="D31" s="20" t="s">
        <v>127</v>
      </c>
      <c r="E31" s="21">
        <f>10.3*8</f>
        <v>82.4</v>
      </c>
      <c r="F31" s="1">
        <v>8</v>
      </c>
    </row>
    <row r="32" spans="1:6" ht="64.5" customHeight="1">
      <c r="A32" s="18">
        <v>10</v>
      </c>
      <c r="B32" s="38" t="s">
        <v>137</v>
      </c>
      <c r="C32" s="19" t="s">
        <v>47</v>
      </c>
      <c r="D32" s="20" t="s">
        <v>136</v>
      </c>
      <c r="E32" s="21">
        <f>15.2*8</f>
        <v>121.6</v>
      </c>
      <c r="F32" s="1">
        <v>8</v>
      </c>
    </row>
    <row r="33" spans="1:6" ht="54.75" customHeight="1">
      <c r="A33" s="18">
        <v>11</v>
      </c>
      <c r="B33" s="38" t="s">
        <v>138</v>
      </c>
      <c r="C33" s="19" t="s">
        <v>48</v>
      </c>
      <c r="D33" s="20" t="s">
        <v>183</v>
      </c>
      <c r="E33" s="21">
        <f>14.4*8</f>
        <v>115.2</v>
      </c>
      <c r="F33" s="1">
        <v>8</v>
      </c>
    </row>
    <row r="34" spans="1:6" ht="58.5" customHeight="1">
      <c r="A34" s="18">
        <v>12</v>
      </c>
      <c r="B34" s="38" t="s">
        <v>139</v>
      </c>
      <c r="C34" s="19" t="s">
        <v>49</v>
      </c>
      <c r="D34" s="20" t="s">
        <v>182</v>
      </c>
      <c r="E34" s="21">
        <f>19.9*8</f>
        <v>159.19999999999999</v>
      </c>
      <c r="F34" s="1">
        <v>8</v>
      </c>
    </row>
    <row r="35" spans="1:6" ht="57" customHeight="1">
      <c r="A35" s="18">
        <v>13</v>
      </c>
      <c r="B35" s="38" t="s">
        <v>140</v>
      </c>
      <c r="C35" s="19" t="s">
        <v>50</v>
      </c>
      <c r="D35" s="20" t="s">
        <v>181</v>
      </c>
      <c r="E35" s="21">
        <f>33.6*8</f>
        <v>268.8</v>
      </c>
      <c r="F35" s="1">
        <v>8</v>
      </c>
    </row>
    <row r="36" spans="1:6" ht="59.25" customHeight="1">
      <c r="A36" s="18">
        <v>14</v>
      </c>
      <c r="B36" s="38" t="s">
        <v>141</v>
      </c>
      <c r="C36" s="19" t="s">
        <v>51</v>
      </c>
      <c r="D36" s="20" t="s">
        <v>180</v>
      </c>
      <c r="E36" s="21">
        <f>5.3*8</f>
        <v>42.4</v>
      </c>
      <c r="F36" s="1">
        <v>8</v>
      </c>
    </row>
    <row r="37" spans="1:6" ht="59.25" customHeight="1">
      <c r="A37" s="18">
        <v>15</v>
      </c>
      <c r="B37" s="38" t="s">
        <v>142</v>
      </c>
      <c r="C37" s="19" t="s">
        <v>52</v>
      </c>
      <c r="D37" s="20" t="s">
        <v>179</v>
      </c>
      <c r="E37" s="21">
        <f>9.5*8</f>
        <v>76</v>
      </c>
      <c r="F37" s="1">
        <v>8</v>
      </c>
    </row>
    <row r="38" spans="1:6" ht="57" customHeight="1">
      <c r="A38" s="18">
        <v>16</v>
      </c>
      <c r="B38" s="38" t="s">
        <v>143</v>
      </c>
      <c r="C38" s="19" t="s">
        <v>53</v>
      </c>
      <c r="D38" s="20" t="s">
        <v>178</v>
      </c>
      <c r="E38" s="21">
        <f>7.6*8</f>
        <v>60.8</v>
      </c>
      <c r="F38" s="1">
        <v>8</v>
      </c>
    </row>
    <row r="39" spans="1:6" ht="61.5" customHeight="1">
      <c r="A39" s="18">
        <v>17</v>
      </c>
      <c r="B39" s="38" t="s">
        <v>144</v>
      </c>
      <c r="C39" s="19" t="s">
        <v>54</v>
      </c>
      <c r="D39" s="20" t="s">
        <v>177</v>
      </c>
      <c r="E39" s="21">
        <f>20.5*8</f>
        <v>164</v>
      </c>
      <c r="F39" s="1">
        <v>8</v>
      </c>
    </row>
    <row r="40" spans="1:6" ht="58.5" customHeight="1">
      <c r="A40" s="18">
        <v>18</v>
      </c>
      <c r="B40" s="38" t="s">
        <v>145</v>
      </c>
      <c r="C40" s="19" t="s">
        <v>55</v>
      </c>
      <c r="D40" s="20" t="s">
        <v>176</v>
      </c>
      <c r="E40" s="21">
        <f>8.6*8</f>
        <v>68.8</v>
      </c>
      <c r="F40" s="1">
        <v>8</v>
      </c>
    </row>
    <row r="41" spans="1:6" ht="55.5" customHeight="1">
      <c r="A41" s="18">
        <v>19</v>
      </c>
      <c r="B41" s="38" t="s">
        <v>146</v>
      </c>
      <c r="C41" s="19" t="s">
        <v>56</v>
      </c>
      <c r="D41" s="20" t="s">
        <v>175</v>
      </c>
      <c r="E41" s="21">
        <f>2.5*8</f>
        <v>20</v>
      </c>
      <c r="F41" s="1">
        <v>8</v>
      </c>
    </row>
    <row r="42" spans="1:6" ht="58.5" customHeight="1">
      <c r="A42" s="18">
        <v>20</v>
      </c>
      <c r="B42" s="38" t="s">
        <v>147</v>
      </c>
      <c r="C42" s="19" t="s">
        <v>57</v>
      </c>
      <c r="D42" s="20" t="s">
        <v>174</v>
      </c>
      <c r="E42" s="21">
        <f>2.2*8</f>
        <v>17.600000000000001</v>
      </c>
      <c r="F42" s="1">
        <v>8</v>
      </c>
    </row>
    <row r="43" spans="1:6" ht="55.5" customHeight="1">
      <c r="A43" s="18">
        <v>21</v>
      </c>
      <c r="B43" s="38" t="s">
        <v>148</v>
      </c>
      <c r="C43" s="19" t="s">
        <v>58</v>
      </c>
      <c r="D43" s="20" t="s">
        <v>61</v>
      </c>
      <c r="E43" s="21">
        <f>5.4*8</f>
        <v>43.2</v>
      </c>
      <c r="F43" s="1">
        <v>8</v>
      </c>
    </row>
    <row r="44" spans="1:6" ht="58.5" customHeight="1">
      <c r="A44" s="18">
        <v>22</v>
      </c>
      <c r="B44" s="38" t="s">
        <v>149</v>
      </c>
      <c r="C44" s="19" t="s">
        <v>59</v>
      </c>
      <c r="D44" s="20" t="s">
        <v>61</v>
      </c>
      <c r="E44" s="21">
        <f>5.4*8</f>
        <v>43.2</v>
      </c>
      <c r="F44" s="1">
        <v>8</v>
      </c>
    </row>
    <row r="45" spans="1:6" ht="55.5" customHeight="1">
      <c r="A45" s="18">
        <v>23</v>
      </c>
      <c r="B45" s="38" t="s">
        <v>150</v>
      </c>
      <c r="C45" s="19" t="s">
        <v>60</v>
      </c>
      <c r="D45" s="20" t="s">
        <v>173</v>
      </c>
      <c r="E45" s="21">
        <f>12.2*8</f>
        <v>97.6</v>
      </c>
      <c r="F45" s="1">
        <v>8</v>
      </c>
    </row>
    <row r="46" spans="1:6" ht="58.5" customHeight="1">
      <c r="A46" s="18">
        <v>24</v>
      </c>
      <c r="B46" s="38" t="s">
        <v>151</v>
      </c>
      <c r="C46" s="19" t="s">
        <v>62</v>
      </c>
      <c r="D46" s="20" t="s">
        <v>168</v>
      </c>
      <c r="E46" s="21">
        <f>8*8</f>
        <v>64</v>
      </c>
      <c r="F46" s="1">
        <v>8</v>
      </c>
    </row>
    <row r="47" spans="1:6" ht="55.5" customHeight="1">
      <c r="A47" s="18">
        <v>25</v>
      </c>
      <c r="B47" s="38" t="s">
        <v>152</v>
      </c>
      <c r="C47" s="19" t="s">
        <v>63</v>
      </c>
      <c r="D47" s="20" t="s">
        <v>172</v>
      </c>
      <c r="E47" s="21">
        <f>8.9*8</f>
        <v>71.2</v>
      </c>
      <c r="F47" s="1">
        <v>8</v>
      </c>
    </row>
    <row r="48" spans="1:6" ht="58.5" customHeight="1">
      <c r="A48" s="18">
        <v>26</v>
      </c>
      <c r="B48" s="38" t="s">
        <v>153</v>
      </c>
      <c r="C48" s="19" t="s">
        <v>64</v>
      </c>
      <c r="D48" s="20" t="s">
        <v>171</v>
      </c>
      <c r="E48" s="21">
        <f>7.2*8</f>
        <v>57.6</v>
      </c>
      <c r="F48" s="1">
        <v>8</v>
      </c>
    </row>
    <row r="49" spans="1:6" ht="55.5" customHeight="1">
      <c r="A49" s="18">
        <v>27</v>
      </c>
      <c r="B49" s="38" t="s">
        <v>154</v>
      </c>
      <c r="C49" s="19" t="s">
        <v>65</v>
      </c>
      <c r="D49" s="20" t="s">
        <v>170</v>
      </c>
      <c r="E49" s="21">
        <f>53.8*8</f>
        <v>430.4</v>
      </c>
      <c r="F49" s="1">
        <v>8</v>
      </c>
    </row>
    <row r="50" spans="1:6" ht="58.5" customHeight="1">
      <c r="A50" s="18">
        <v>28</v>
      </c>
      <c r="B50" s="38" t="s">
        <v>155</v>
      </c>
      <c r="C50" s="19" t="s">
        <v>66</v>
      </c>
      <c r="D50" s="20" t="s">
        <v>169</v>
      </c>
      <c r="E50" s="21">
        <f>13.8*8</f>
        <v>110.4</v>
      </c>
      <c r="F50" s="1">
        <v>8</v>
      </c>
    </row>
    <row r="51" spans="1:6" ht="55.5" customHeight="1">
      <c r="A51" s="18">
        <v>29</v>
      </c>
      <c r="B51" s="38" t="s">
        <v>156</v>
      </c>
      <c r="C51" s="19" t="s">
        <v>67</v>
      </c>
      <c r="D51" s="20" t="s">
        <v>168</v>
      </c>
      <c r="E51" s="21">
        <f>8*8</f>
        <v>64</v>
      </c>
      <c r="F51" s="1">
        <v>8</v>
      </c>
    </row>
    <row r="52" spans="1:6" ht="55.5" customHeight="1">
      <c r="A52" s="18">
        <v>30</v>
      </c>
      <c r="B52" s="38" t="s">
        <v>157</v>
      </c>
      <c r="C52" s="19" t="s">
        <v>68</v>
      </c>
      <c r="D52" s="20" t="s">
        <v>69</v>
      </c>
      <c r="E52" s="21">
        <f>48.8*8</f>
        <v>390.4</v>
      </c>
      <c r="F52" s="1">
        <v>8</v>
      </c>
    </row>
    <row r="53" spans="1:6" ht="56.25" customHeight="1">
      <c r="A53" s="18">
        <v>31</v>
      </c>
      <c r="B53" s="38" t="s">
        <v>158</v>
      </c>
      <c r="C53" s="19" t="s">
        <v>70</v>
      </c>
      <c r="D53" s="20" t="s">
        <v>167</v>
      </c>
      <c r="E53" s="21">
        <f>19.1*8</f>
        <v>152.80000000000001</v>
      </c>
      <c r="F53" s="1">
        <v>8</v>
      </c>
    </row>
    <row r="54" spans="1:6" ht="55.5" customHeight="1">
      <c r="A54" s="18">
        <v>32</v>
      </c>
      <c r="B54" s="38" t="s">
        <v>159</v>
      </c>
      <c r="C54" s="19" t="s">
        <v>71</v>
      </c>
      <c r="D54" s="20" t="s">
        <v>166</v>
      </c>
      <c r="E54" s="21">
        <f>26.3*8</f>
        <v>210.4</v>
      </c>
      <c r="F54" s="1">
        <v>8</v>
      </c>
    </row>
    <row r="55" spans="1:6" ht="55.5" customHeight="1">
      <c r="A55" s="18">
        <v>33</v>
      </c>
      <c r="B55" s="38" t="s">
        <v>160</v>
      </c>
      <c r="C55" s="19" t="s">
        <v>72</v>
      </c>
      <c r="D55" s="20" t="s">
        <v>165</v>
      </c>
      <c r="E55" s="21">
        <f>58.9*8</f>
        <v>471.2</v>
      </c>
      <c r="F55" s="1">
        <v>8</v>
      </c>
    </row>
    <row r="56" spans="1:6" ht="55.5" customHeight="1">
      <c r="A56" s="18">
        <v>34</v>
      </c>
      <c r="B56" s="38" t="s">
        <v>161</v>
      </c>
      <c r="C56" s="19" t="s">
        <v>73</v>
      </c>
      <c r="D56" s="20" t="s">
        <v>164</v>
      </c>
      <c r="E56" s="21">
        <f>162.1*8</f>
        <v>1296.8</v>
      </c>
      <c r="F56" s="1">
        <v>8</v>
      </c>
    </row>
    <row r="57" spans="1:6" ht="67.5" customHeight="1">
      <c r="A57" s="18">
        <v>35</v>
      </c>
      <c r="B57" s="38" t="s">
        <v>162</v>
      </c>
      <c r="C57" s="19" t="s">
        <v>74</v>
      </c>
      <c r="D57" s="20" t="s">
        <v>163</v>
      </c>
      <c r="E57" s="21">
        <f>33.4*8</f>
        <v>267.2</v>
      </c>
      <c r="F57" s="1">
        <v>8</v>
      </c>
    </row>
    <row r="58" spans="1:6" ht="60" customHeight="1">
      <c r="A58" s="18">
        <v>36</v>
      </c>
      <c r="B58" s="38" t="s">
        <v>240</v>
      </c>
      <c r="C58" s="19" t="s">
        <v>95</v>
      </c>
      <c r="D58" s="20" t="s">
        <v>184</v>
      </c>
      <c r="E58" s="21">
        <f>2.6*5</f>
        <v>13</v>
      </c>
      <c r="F58" s="1">
        <v>5</v>
      </c>
    </row>
    <row r="59" spans="1:6" ht="51">
      <c r="A59" s="18">
        <v>37</v>
      </c>
      <c r="B59" s="38" t="s">
        <v>239</v>
      </c>
      <c r="C59" s="19" t="s">
        <v>91</v>
      </c>
      <c r="D59" s="20" t="s">
        <v>185</v>
      </c>
      <c r="E59" s="21">
        <f>4.1*5</f>
        <v>20.5</v>
      </c>
      <c r="F59" s="1">
        <v>5</v>
      </c>
    </row>
    <row r="60" spans="1:6" ht="58.5" customHeight="1">
      <c r="A60" s="18">
        <v>38</v>
      </c>
      <c r="B60" s="38" t="s">
        <v>238</v>
      </c>
      <c r="C60" s="19" t="s">
        <v>94</v>
      </c>
      <c r="D60" s="20" t="s">
        <v>186</v>
      </c>
      <c r="E60" s="21">
        <f>4.5*5</f>
        <v>22.5</v>
      </c>
      <c r="F60" s="1">
        <v>5</v>
      </c>
    </row>
    <row r="61" spans="1:6" ht="51">
      <c r="A61" s="18">
        <v>39</v>
      </c>
      <c r="B61" s="38" t="s">
        <v>237</v>
      </c>
      <c r="C61" s="19" t="s">
        <v>80</v>
      </c>
      <c r="D61" s="20" t="s">
        <v>187</v>
      </c>
      <c r="E61" s="21">
        <f>2.9*5</f>
        <v>14.5</v>
      </c>
      <c r="F61" s="1">
        <v>5</v>
      </c>
    </row>
    <row r="62" spans="1:6" ht="57" customHeight="1">
      <c r="A62" s="18">
        <v>40</v>
      </c>
      <c r="B62" s="38" t="s">
        <v>236</v>
      </c>
      <c r="C62" s="19" t="s">
        <v>81</v>
      </c>
      <c r="D62" s="20" t="s">
        <v>188</v>
      </c>
      <c r="E62" s="21">
        <f>10.3*5</f>
        <v>51.5</v>
      </c>
      <c r="F62" s="1">
        <v>5</v>
      </c>
    </row>
    <row r="63" spans="1:6" ht="51">
      <c r="A63" s="18">
        <v>41</v>
      </c>
      <c r="B63" s="38" t="s">
        <v>235</v>
      </c>
      <c r="C63" s="19" t="s">
        <v>82</v>
      </c>
      <c r="D63" s="20" t="s">
        <v>189</v>
      </c>
      <c r="E63" s="21">
        <f>2.7*5</f>
        <v>13.5</v>
      </c>
      <c r="F63" s="1">
        <v>5</v>
      </c>
    </row>
    <row r="64" spans="1:6" ht="51">
      <c r="A64" s="18">
        <v>42</v>
      </c>
      <c r="B64" s="38" t="s">
        <v>234</v>
      </c>
      <c r="C64" s="19" t="s">
        <v>83</v>
      </c>
      <c r="D64" s="20" t="s">
        <v>129</v>
      </c>
      <c r="E64" s="21" t="s">
        <v>129</v>
      </c>
      <c r="F64" s="1">
        <v>5</v>
      </c>
    </row>
    <row r="65" spans="1:6" ht="51">
      <c r="A65" s="18">
        <v>43</v>
      </c>
      <c r="B65" s="38" t="s">
        <v>233</v>
      </c>
      <c r="C65" s="19" t="s">
        <v>84</v>
      </c>
      <c r="D65" s="20" t="s">
        <v>184</v>
      </c>
      <c r="E65" s="21">
        <f>2.6*5</f>
        <v>13</v>
      </c>
      <c r="F65" s="1">
        <v>5</v>
      </c>
    </row>
    <row r="66" spans="1:6" ht="51">
      <c r="A66" s="18">
        <v>44</v>
      </c>
      <c r="B66" s="38" t="s">
        <v>232</v>
      </c>
      <c r="C66" s="19" t="s">
        <v>85</v>
      </c>
      <c r="D66" s="20" t="s">
        <v>190</v>
      </c>
      <c r="E66" s="21">
        <f>7.4*5</f>
        <v>37</v>
      </c>
      <c r="F66" s="1">
        <v>5</v>
      </c>
    </row>
    <row r="67" spans="1:6" ht="51">
      <c r="A67" s="18">
        <v>45</v>
      </c>
      <c r="B67" s="38" t="s">
        <v>231</v>
      </c>
      <c r="C67" s="19" t="s">
        <v>86</v>
      </c>
      <c r="D67" s="20" t="s">
        <v>191</v>
      </c>
      <c r="E67" s="21">
        <f>4.6*5</f>
        <v>23</v>
      </c>
      <c r="F67" s="1">
        <v>5</v>
      </c>
    </row>
    <row r="68" spans="1:6" ht="51">
      <c r="A68" s="18">
        <v>46</v>
      </c>
      <c r="B68" s="38" t="s">
        <v>230</v>
      </c>
      <c r="C68" s="19" t="s">
        <v>87</v>
      </c>
      <c r="D68" s="20" t="s">
        <v>192</v>
      </c>
      <c r="E68" s="21">
        <f>7.1*5</f>
        <v>35.5</v>
      </c>
      <c r="F68" s="1">
        <v>5</v>
      </c>
    </row>
    <row r="69" spans="1:6" ht="51">
      <c r="A69" s="18">
        <v>47</v>
      </c>
      <c r="B69" s="38" t="s">
        <v>229</v>
      </c>
      <c r="C69" s="19" t="s">
        <v>88</v>
      </c>
      <c r="D69" s="20" t="s">
        <v>189</v>
      </c>
      <c r="E69" s="21">
        <f>2.7*5</f>
        <v>13.5</v>
      </c>
      <c r="F69" s="1">
        <v>5</v>
      </c>
    </row>
    <row r="70" spans="1:6" ht="51">
      <c r="A70" s="18">
        <v>48</v>
      </c>
      <c r="B70" s="38" t="s">
        <v>228</v>
      </c>
      <c r="C70" s="19" t="s">
        <v>89</v>
      </c>
      <c r="D70" s="20" t="s">
        <v>193</v>
      </c>
      <c r="E70" s="21">
        <f>7.9*5</f>
        <v>39.5</v>
      </c>
      <c r="F70" s="1">
        <v>5</v>
      </c>
    </row>
    <row r="71" spans="1:6" ht="54.75" customHeight="1">
      <c r="A71" s="18">
        <v>49</v>
      </c>
      <c r="B71" s="38" t="s">
        <v>227</v>
      </c>
      <c r="C71" s="19" t="s">
        <v>90</v>
      </c>
      <c r="D71" s="20" t="s">
        <v>194</v>
      </c>
      <c r="E71" s="21">
        <f>3*5</f>
        <v>15</v>
      </c>
      <c r="F71" s="1">
        <v>5</v>
      </c>
    </row>
    <row r="72" spans="1:6" ht="60" customHeight="1">
      <c r="A72" s="18">
        <v>50</v>
      </c>
      <c r="B72" s="38" t="s">
        <v>226</v>
      </c>
      <c r="C72" s="19" t="s">
        <v>93</v>
      </c>
      <c r="D72" s="20" t="s">
        <v>195</v>
      </c>
      <c r="E72" s="21">
        <f>0.8*5</f>
        <v>4</v>
      </c>
      <c r="F72" s="1">
        <v>5</v>
      </c>
    </row>
    <row r="73" spans="1:6" ht="55.5" customHeight="1">
      <c r="A73" s="18">
        <v>51</v>
      </c>
      <c r="B73" s="38" t="s">
        <v>225</v>
      </c>
      <c r="C73" s="19" t="s">
        <v>92</v>
      </c>
      <c r="D73" s="20" t="s">
        <v>196</v>
      </c>
      <c r="E73" s="21">
        <f>1.4*5</f>
        <v>7</v>
      </c>
      <c r="F73" s="1">
        <v>5</v>
      </c>
    </row>
    <row r="74" spans="1:6" ht="67.5" customHeight="1">
      <c r="A74" s="18">
        <v>52</v>
      </c>
      <c r="B74" s="38" t="s">
        <v>224</v>
      </c>
      <c r="C74" s="19" t="s">
        <v>98</v>
      </c>
      <c r="D74" s="20" t="s">
        <v>197</v>
      </c>
      <c r="E74" s="21">
        <f>96.2*5</f>
        <v>481</v>
      </c>
      <c r="F74" s="1">
        <v>5</v>
      </c>
    </row>
    <row r="75" spans="1:6" ht="67.5" customHeight="1">
      <c r="A75" s="18">
        <v>53</v>
      </c>
      <c r="B75" s="38" t="s">
        <v>223</v>
      </c>
      <c r="C75" s="19" t="s">
        <v>99</v>
      </c>
      <c r="D75" s="20" t="s">
        <v>198</v>
      </c>
      <c r="E75" s="21">
        <f>152.3*5</f>
        <v>761.5</v>
      </c>
      <c r="F75" s="1">
        <v>5</v>
      </c>
    </row>
    <row r="76" spans="1:6" ht="67.5" customHeight="1">
      <c r="A76" s="18">
        <v>54</v>
      </c>
      <c r="B76" s="38" t="s">
        <v>222</v>
      </c>
      <c r="C76" s="19" t="s">
        <v>100</v>
      </c>
      <c r="D76" s="20" t="s">
        <v>199</v>
      </c>
      <c r="E76" s="21">
        <f>106*5</f>
        <v>530</v>
      </c>
      <c r="F76" s="1">
        <v>5</v>
      </c>
    </row>
    <row r="77" spans="1:6" ht="67.5" customHeight="1">
      <c r="A77" s="18">
        <v>55</v>
      </c>
      <c r="B77" s="38" t="s">
        <v>221</v>
      </c>
      <c r="C77" s="19" t="s">
        <v>101</v>
      </c>
      <c r="D77" s="20" t="s">
        <v>200</v>
      </c>
      <c r="E77" s="21">
        <f>100.7*3</f>
        <v>302.10000000000002</v>
      </c>
      <c r="F77" s="1">
        <v>5</v>
      </c>
    </row>
    <row r="78" spans="1:6" ht="67.5" customHeight="1">
      <c r="A78" s="18">
        <v>56</v>
      </c>
      <c r="B78" s="38" t="s">
        <v>220</v>
      </c>
      <c r="C78" s="19" t="s">
        <v>102</v>
      </c>
      <c r="D78" s="20" t="s">
        <v>201</v>
      </c>
      <c r="E78" s="21">
        <f>156.2*5</f>
        <v>781</v>
      </c>
      <c r="F78" s="1">
        <v>5</v>
      </c>
    </row>
    <row r="79" spans="1:6" ht="67.5" customHeight="1">
      <c r="A79" s="18">
        <v>57</v>
      </c>
      <c r="B79" s="38" t="s">
        <v>219</v>
      </c>
      <c r="C79" s="19" t="s">
        <v>103</v>
      </c>
      <c r="D79" s="20" t="s">
        <v>202</v>
      </c>
      <c r="E79" s="21">
        <f>93.7*5</f>
        <v>468.5</v>
      </c>
      <c r="F79" s="1">
        <v>5</v>
      </c>
    </row>
    <row r="80" spans="1:6" ht="67.5" customHeight="1">
      <c r="A80" s="18">
        <v>58</v>
      </c>
      <c r="B80" s="38" t="s">
        <v>218</v>
      </c>
      <c r="C80" s="19" t="s">
        <v>104</v>
      </c>
      <c r="D80" s="20" t="s">
        <v>203</v>
      </c>
      <c r="E80" s="21">
        <f>105.7*5</f>
        <v>528.5</v>
      </c>
      <c r="F80" s="1">
        <v>5</v>
      </c>
    </row>
    <row r="81" spans="1:8" ht="67.5" customHeight="1">
      <c r="A81" s="18">
        <v>59</v>
      </c>
      <c r="B81" s="38" t="s">
        <v>217</v>
      </c>
      <c r="C81" s="19" t="s">
        <v>105</v>
      </c>
      <c r="D81" s="20" t="s">
        <v>204</v>
      </c>
      <c r="E81" s="21">
        <f>133.5*5</f>
        <v>667.5</v>
      </c>
      <c r="F81" s="1">
        <v>5</v>
      </c>
    </row>
    <row r="82" spans="1:8" ht="67.5" customHeight="1">
      <c r="A82" s="18">
        <v>60</v>
      </c>
      <c r="B82" s="38" t="s">
        <v>216</v>
      </c>
      <c r="C82" s="19" t="s">
        <v>106</v>
      </c>
      <c r="D82" s="20" t="s">
        <v>201</v>
      </c>
      <c r="E82" s="21">
        <f>156.2*5</f>
        <v>781</v>
      </c>
      <c r="F82" s="1">
        <v>5</v>
      </c>
    </row>
    <row r="83" spans="1:8" ht="67.5" customHeight="1">
      <c r="A83" s="18">
        <v>61</v>
      </c>
      <c r="B83" s="38" t="s">
        <v>215</v>
      </c>
      <c r="C83" s="19" t="s">
        <v>107</v>
      </c>
      <c r="D83" s="20" t="s">
        <v>205</v>
      </c>
      <c r="E83" s="21">
        <f>77*5</f>
        <v>385</v>
      </c>
      <c r="F83" s="1">
        <v>5</v>
      </c>
    </row>
    <row r="84" spans="1:8" ht="67.5" customHeight="1">
      <c r="A84" s="18">
        <v>62</v>
      </c>
      <c r="B84" s="38" t="s">
        <v>214</v>
      </c>
      <c r="C84" s="19" t="s">
        <v>108</v>
      </c>
      <c r="D84" s="20" t="s">
        <v>206</v>
      </c>
      <c r="E84" s="21">
        <f>135.2*5</f>
        <v>676</v>
      </c>
      <c r="F84" s="1">
        <v>5</v>
      </c>
    </row>
    <row r="85" spans="1:8" ht="67.5" customHeight="1">
      <c r="A85" s="18">
        <v>63</v>
      </c>
      <c r="B85" s="38" t="s">
        <v>213</v>
      </c>
      <c r="C85" s="19" t="s">
        <v>109</v>
      </c>
      <c r="D85" s="20" t="s">
        <v>207</v>
      </c>
      <c r="E85" s="21">
        <f>41.2*3</f>
        <v>123.60000000000001</v>
      </c>
      <c r="F85" s="1">
        <v>5</v>
      </c>
    </row>
    <row r="86" spans="1:8" ht="67.5" customHeight="1">
      <c r="A86" s="18">
        <v>64</v>
      </c>
      <c r="B86" s="38" t="s">
        <v>212</v>
      </c>
      <c r="C86" s="19" t="s">
        <v>111</v>
      </c>
      <c r="D86" s="20" t="s">
        <v>201</v>
      </c>
      <c r="E86" s="21">
        <f>156.2*5</f>
        <v>781</v>
      </c>
      <c r="F86" s="1">
        <v>5</v>
      </c>
    </row>
    <row r="87" spans="1:8" ht="67.5" customHeight="1">
      <c r="A87" s="18">
        <v>65</v>
      </c>
      <c r="B87" s="38" t="s">
        <v>211</v>
      </c>
      <c r="C87" s="19" t="s">
        <v>110</v>
      </c>
      <c r="D87" s="20" t="s">
        <v>207</v>
      </c>
      <c r="E87" s="21">
        <f>41.2*5</f>
        <v>206</v>
      </c>
      <c r="F87" s="1">
        <v>5</v>
      </c>
    </row>
    <row r="88" spans="1:8" ht="67.5" customHeight="1">
      <c r="A88" s="18">
        <v>66</v>
      </c>
      <c r="B88" s="38" t="s">
        <v>210</v>
      </c>
      <c r="C88" s="19" t="s">
        <v>112</v>
      </c>
      <c r="D88" s="20" t="s">
        <v>207</v>
      </c>
      <c r="E88" s="21">
        <f>41.2*5</f>
        <v>206</v>
      </c>
      <c r="F88" s="1">
        <v>5</v>
      </c>
    </row>
    <row r="89" spans="1:8" ht="67.5" customHeight="1">
      <c r="A89" s="18">
        <v>67</v>
      </c>
      <c r="B89" s="38" t="s">
        <v>209</v>
      </c>
      <c r="C89" s="19" t="s">
        <v>113</v>
      </c>
      <c r="D89" s="20" t="s">
        <v>208</v>
      </c>
      <c r="E89" s="21">
        <f>25.4*5</f>
        <v>127</v>
      </c>
      <c r="F89" s="1">
        <v>5</v>
      </c>
    </row>
    <row r="90" spans="1:8" ht="137.25" customHeight="1">
      <c r="A90" s="31">
        <v>68</v>
      </c>
      <c r="B90" s="32" t="s">
        <v>37</v>
      </c>
      <c r="C90" s="33" t="s">
        <v>117</v>
      </c>
      <c r="D90" s="34" t="s">
        <v>130</v>
      </c>
      <c r="E90" s="35">
        <f>SUM(E31:E89)*0.25</f>
        <v>3273.9749999999999</v>
      </c>
      <c r="G90" s="1">
        <f>(51.5+76+72+99.5+168+26.5+47.5+38+102.5+43+12.5+11+27+27+61+40+44.5+36+269+69+40+244+95.5+131.5+294.5+810.5+167+7.8+12.3+13.5+8.7+30.9+8.1+9.3+7.8+22.2+13.8+21.3+8.1+23.7+9+2.4+4.2+288.6+456.9+318+302.1+468.6+281.1+317.1+400.5+468.6+231+405.6+123.6+468.6+123.6+123.6+76.2)</f>
        <v>8161.3000000000038</v>
      </c>
      <c r="H90" s="1">
        <f>SUM(E31:E89)</f>
        <v>13095.9</v>
      </c>
    </row>
    <row r="91" spans="1:8" ht="21" customHeight="1">
      <c r="A91" s="50" t="s">
        <v>75</v>
      </c>
      <c r="B91" s="51"/>
      <c r="C91" s="51"/>
      <c r="D91" s="51"/>
      <c r="E91" s="51"/>
    </row>
    <row r="92" spans="1:8" ht="134.25" customHeight="1">
      <c r="A92" s="18">
        <v>69</v>
      </c>
      <c r="B92" s="52" t="s">
        <v>12</v>
      </c>
      <c r="C92" s="19" t="s">
        <v>13</v>
      </c>
      <c r="D92" s="20" t="s">
        <v>131</v>
      </c>
      <c r="E92" s="21">
        <f>SUM(E31:E89)*0.2</f>
        <v>2619.1800000000003</v>
      </c>
    </row>
    <row r="93" spans="1:8" ht="72" outlineLevel="1">
      <c r="A93" s="22"/>
      <c r="B93" s="54"/>
      <c r="C93" s="23" t="s">
        <v>14</v>
      </c>
      <c r="D93" s="24"/>
      <c r="E93" s="25" t="s">
        <v>7</v>
      </c>
    </row>
    <row r="94" spans="1:8" ht="51">
      <c r="A94" s="18">
        <v>70</v>
      </c>
      <c r="B94" s="52" t="s">
        <v>15</v>
      </c>
      <c r="C94" s="19" t="s">
        <v>16</v>
      </c>
      <c r="D94" s="20" t="s">
        <v>77</v>
      </c>
      <c r="E94" s="21">
        <f>(14.8*89)*1.15</f>
        <v>1514.78</v>
      </c>
    </row>
    <row r="95" spans="1:8" ht="27.75" customHeight="1" outlineLevel="1">
      <c r="A95" s="22"/>
      <c r="B95" s="54"/>
      <c r="C95" s="23" t="s">
        <v>17</v>
      </c>
      <c r="D95" s="24"/>
      <c r="E95" s="25" t="s">
        <v>7</v>
      </c>
    </row>
    <row r="96" spans="1:8" ht="61.5" customHeight="1">
      <c r="A96" s="18">
        <v>71</v>
      </c>
      <c r="B96" s="38" t="s">
        <v>132</v>
      </c>
      <c r="C96" s="19" t="s">
        <v>76</v>
      </c>
      <c r="D96" s="20" t="s">
        <v>133</v>
      </c>
      <c r="E96" s="29">
        <f>(161*1.5)</f>
        <v>241.5</v>
      </c>
      <c r="F96" s="1">
        <v>30</v>
      </c>
      <c r="G96" s="37">
        <f>E92+E94+E96</f>
        <v>4375.46</v>
      </c>
    </row>
    <row r="97" spans="1:5" ht="72" customHeight="1">
      <c r="A97" s="18">
        <v>72</v>
      </c>
      <c r="B97" s="38" t="s">
        <v>78</v>
      </c>
      <c r="C97" s="19" t="s">
        <v>18</v>
      </c>
      <c r="D97" s="20" t="s">
        <v>134</v>
      </c>
      <c r="E97" s="29">
        <f>(E92+E94+E96)*0.25</f>
        <v>1093.865</v>
      </c>
    </row>
    <row r="98" spans="1:5" ht="58.5" customHeight="1">
      <c r="A98" s="18">
        <v>73</v>
      </c>
      <c r="B98" s="38" t="s">
        <v>19</v>
      </c>
      <c r="C98" s="19" t="s">
        <v>20</v>
      </c>
      <c r="D98" s="20" t="s">
        <v>21</v>
      </c>
      <c r="E98" s="21">
        <v>200</v>
      </c>
    </row>
    <row r="99" spans="1:5" s="36" customFormat="1" ht="65.25" customHeight="1">
      <c r="A99" s="31">
        <v>74</v>
      </c>
      <c r="B99" s="32" t="s">
        <v>37</v>
      </c>
      <c r="C99" s="33" t="s">
        <v>117</v>
      </c>
      <c r="D99" s="34" t="s">
        <v>135</v>
      </c>
      <c r="E99" s="35">
        <f>(E92+E94+E96+E97+E98)*0.25</f>
        <v>1417.33125</v>
      </c>
    </row>
    <row r="100" spans="1:5" ht="15">
      <c r="A100" s="18"/>
      <c r="B100" s="45" t="s">
        <v>34</v>
      </c>
      <c r="C100" s="46"/>
      <c r="D100" s="46"/>
      <c r="E100" s="26"/>
    </row>
    <row r="101" spans="1:5" ht="15">
      <c r="A101" s="18"/>
      <c r="B101" s="58" t="s">
        <v>79</v>
      </c>
      <c r="C101" s="59"/>
      <c r="D101" s="59"/>
      <c r="E101" s="29"/>
    </row>
    <row r="102" spans="1:5" ht="15">
      <c r="A102" s="18"/>
      <c r="B102" s="58" t="s">
        <v>114</v>
      </c>
      <c r="C102" s="59"/>
      <c r="D102" s="59"/>
      <c r="E102" s="43">
        <f>SUM(E15:E29)</f>
        <v>14290.117436250001</v>
      </c>
    </row>
    <row r="103" spans="1:5" ht="15">
      <c r="A103" s="18"/>
      <c r="B103" s="58" t="s">
        <v>115</v>
      </c>
      <c r="C103" s="59"/>
      <c r="D103" s="59"/>
      <c r="E103" s="43">
        <f>SUM(E31:E90)</f>
        <v>16369.875</v>
      </c>
    </row>
    <row r="104" spans="1:5" ht="15">
      <c r="A104" s="18"/>
      <c r="B104" s="58" t="s">
        <v>116</v>
      </c>
      <c r="C104" s="59"/>
      <c r="D104" s="59"/>
      <c r="E104" s="43">
        <f>SUM(E92:E99)</f>
        <v>7086.65625</v>
      </c>
    </row>
    <row r="105" spans="1:5" ht="15">
      <c r="A105" s="18"/>
      <c r="B105" s="58" t="s">
        <v>22</v>
      </c>
      <c r="C105" s="59"/>
      <c r="D105" s="59"/>
      <c r="E105" s="43">
        <f>E102+E103+E104</f>
        <v>37746.648686250002</v>
      </c>
    </row>
    <row r="106" spans="1:5" ht="15">
      <c r="A106" s="18"/>
      <c r="B106" s="58" t="s">
        <v>242</v>
      </c>
      <c r="C106" s="59"/>
      <c r="D106" s="59"/>
      <c r="E106" s="43">
        <f>E105*64.89</f>
        <v>2449380.0332507626</v>
      </c>
    </row>
    <row r="107" spans="1:5" ht="14.45" hidden="1" customHeight="1">
      <c r="A107" s="18"/>
      <c r="B107" s="55" t="s">
        <v>33</v>
      </c>
      <c r="C107" s="56"/>
      <c r="D107" s="57"/>
      <c r="E107" s="43">
        <f>E108-E106</f>
        <v>0</v>
      </c>
    </row>
    <row r="108" spans="1:5" ht="15">
      <c r="A108" s="27"/>
      <c r="B108" s="45" t="s">
        <v>23</v>
      </c>
      <c r="C108" s="46"/>
      <c r="D108" s="46"/>
      <c r="E108" s="44">
        <f>E106</f>
        <v>2449380.0332507626</v>
      </c>
    </row>
    <row r="109" spans="1:5" ht="15">
      <c r="A109" s="39"/>
      <c r="B109" s="40"/>
      <c r="C109" s="41"/>
      <c r="D109" s="41"/>
      <c r="E109" s="42"/>
    </row>
    <row r="110" spans="1:5" ht="15">
      <c r="A110" s="39"/>
      <c r="B110" s="40"/>
      <c r="C110" s="41"/>
      <c r="D110" s="41"/>
      <c r="E110" s="42"/>
    </row>
    <row r="111" spans="1:5">
      <c r="A111" s="28"/>
      <c r="B111" s="28"/>
      <c r="C111" s="28"/>
      <c r="D111" s="28"/>
      <c r="E111" s="28"/>
    </row>
  </sheetData>
  <mergeCells count="20">
    <mergeCell ref="B107:D107"/>
    <mergeCell ref="B108:D108"/>
    <mergeCell ref="B101:D101"/>
    <mergeCell ref="B102:D102"/>
    <mergeCell ref="B103:D103"/>
    <mergeCell ref="B104:D104"/>
    <mergeCell ref="B105:D105"/>
    <mergeCell ref="B106:D106"/>
    <mergeCell ref="B100:D100"/>
    <mergeCell ref="A6:E6"/>
    <mergeCell ref="A8:E8"/>
    <mergeCell ref="A9:E9"/>
    <mergeCell ref="A14:E14"/>
    <mergeCell ref="B15:B18"/>
    <mergeCell ref="B20:B22"/>
    <mergeCell ref="B23:B25"/>
    <mergeCell ref="A30:E30"/>
    <mergeCell ref="A91:E91"/>
    <mergeCell ref="B92:B93"/>
    <mergeCell ref="B94:B95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МОЙ ВАРИАНТ</vt:lpstr>
      <vt:lpstr>'МОЙ ВАРИАНТ'!Заголовки_для_печати</vt:lpstr>
      <vt:lpstr>'МОЙ ВАРИАНТ'!Область_печати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2023-03-10T04:23:38Z</cp:lastPrinted>
  <dcterms:created xsi:type="dcterms:W3CDTF">2014-05-08T09:51:02Z</dcterms:created>
  <dcterms:modified xsi:type="dcterms:W3CDTF">2024-04-23T08:45:26Z</dcterms:modified>
</cp:coreProperties>
</file>