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-30" windowWidth="6660" windowHeight="10515"/>
  </bookViews>
  <sheets>
    <sheet name="sv" sheetId="1" r:id="rId1"/>
    <sheet name="sv (для О.Б.)" sheetId="2" r:id="rId2"/>
  </sheets>
  <definedNames>
    <definedName name="_xlnm._FilterDatabase" localSheetId="0" hidden="1">sv!$A$6:$DQ$54</definedName>
    <definedName name="_xlnm._FilterDatabase" localSheetId="1" hidden="1">'sv (для О.Б.)'!$A$6:$DS$54</definedName>
    <definedName name="_xlnm.Print_Titles" localSheetId="0">sv!$B:$C,sv!$2:$5</definedName>
    <definedName name="_xlnm.Print_Titles" localSheetId="1">'sv (для О.Б.)'!$B:$C,'sv (для О.Б.)'!$2:$5</definedName>
  </definedNames>
  <calcPr calcId="125725"/>
</workbook>
</file>

<file path=xl/calcChain.xml><?xml version="1.0" encoding="utf-8"?>
<calcChain xmlns="http://schemas.openxmlformats.org/spreadsheetml/2006/main">
  <c r="R261" i="1"/>
  <c r="R262" s="1"/>
  <c r="AC261"/>
  <c r="AC262" s="1"/>
  <c r="AI261"/>
  <c r="AI262" s="1"/>
  <c r="Y250" i="2"/>
  <c r="U250"/>
  <c r="Y253"/>
  <c r="Y254"/>
  <c r="Y255"/>
  <c r="Y256"/>
  <c r="Y257"/>
  <c r="Y258"/>
  <c r="Y252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7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DS258"/>
  <c r="DQ258"/>
  <c r="DP258"/>
  <c r="DO258"/>
  <c r="DN258"/>
  <c r="DM258"/>
  <c r="DL258"/>
  <c r="DK258"/>
  <c r="DJ258"/>
  <c r="DI258"/>
  <c r="DH258"/>
  <c r="DG258"/>
  <c r="DF258"/>
  <c r="DE258"/>
  <c r="DD258"/>
  <c r="DC258"/>
  <c r="DB258"/>
  <c r="DA258"/>
  <c r="CZ258"/>
  <c r="CY258"/>
  <c r="CX258"/>
  <c r="CW258"/>
  <c r="CV258"/>
  <c r="CU258"/>
  <c r="CT258"/>
  <c r="CS258"/>
  <c r="CR258"/>
  <c r="CK258"/>
  <c r="CC258"/>
  <c r="CB258"/>
  <c r="CA258"/>
  <c r="BY258"/>
  <c r="BX258"/>
  <c r="BW258"/>
  <c r="BV258"/>
  <c r="BU258"/>
  <c r="BT258"/>
  <c r="BS258"/>
  <c r="BR258"/>
  <c r="BQ258"/>
  <c r="BP258"/>
  <c r="BO258"/>
  <c r="BK258"/>
  <c r="AZ258"/>
  <c r="AX258"/>
  <c r="AS258"/>
  <c r="AP258"/>
  <c r="AM258"/>
  <c r="AL258"/>
  <c r="AJ258"/>
  <c r="AG258"/>
  <c r="AD258"/>
  <c r="AC258"/>
  <c r="AB258"/>
  <c r="AA258"/>
  <c r="Z258"/>
  <c r="X258"/>
  <c r="S258"/>
  <c r="Q258"/>
  <c r="P258"/>
  <c r="M258"/>
  <c r="G258"/>
  <c r="DS257"/>
  <c r="DQ257"/>
  <c r="DP257"/>
  <c r="DO257"/>
  <c r="DN257"/>
  <c r="DM257"/>
  <c r="DL257"/>
  <c r="DK257"/>
  <c r="DJ257"/>
  <c r="DI257"/>
  <c r="DH257"/>
  <c r="DG257"/>
  <c r="DF257"/>
  <c r="DE257"/>
  <c r="DD257"/>
  <c r="DC257"/>
  <c r="DB257"/>
  <c r="DA257"/>
  <c r="CZ257"/>
  <c r="CY257"/>
  <c r="CX257"/>
  <c r="CW257"/>
  <c r="CV257"/>
  <c r="CU257"/>
  <c r="CT257"/>
  <c r="CS257"/>
  <c r="CR257"/>
  <c r="CK257"/>
  <c r="CC257"/>
  <c r="CB257"/>
  <c r="CA257"/>
  <c r="BZ257"/>
  <c r="BY257"/>
  <c r="BX257"/>
  <c r="BW257"/>
  <c r="BV257"/>
  <c r="BU257"/>
  <c r="BT257"/>
  <c r="BS257"/>
  <c r="BR257"/>
  <c r="BN257"/>
  <c r="BM257"/>
  <c r="BL257"/>
  <c r="BK257"/>
  <c r="BJ257"/>
  <c r="BI257"/>
  <c r="BH257"/>
  <c r="BG257"/>
  <c r="BF257"/>
  <c r="BE257"/>
  <c r="BD257"/>
  <c r="BC257"/>
  <c r="BB257"/>
  <c r="BA257"/>
  <c r="AZ257"/>
  <c r="AY257"/>
  <c r="AX257"/>
  <c r="AW257"/>
  <c r="AV257"/>
  <c r="AU257"/>
  <c r="AT257"/>
  <c r="AS257"/>
  <c r="AR257"/>
  <c r="AQ257"/>
  <c r="AP257"/>
  <c r="AO257"/>
  <c r="AN257"/>
  <c r="AM257"/>
  <c r="AL257"/>
  <c r="AJ257"/>
  <c r="AI257"/>
  <c r="AG257"/>
  <c r="AD257"/>
  <c r="AC257"/>
  <c r="AB257"/>
  <c r="AA257"/>
  <c r="Z257"/>
  <c r="X257"/>
  <c r="Q257"/>
  <c r="P257"/>
  <c r="M257"/>
  <c r="L257"/>
  <c r="K257"/>
  <c r="J257"/>
  <c r="G257"/>
  <c r="DS256"/>
  <c r="DQ256"/>
  <c r="DP256"/>
  <c r="DO256"/>
  <c r="DN256"/>
  <c r="DM256"/>
  <c r="DL256"/>
  <c r="DK256"/>
  <c r="DJ256"/>
  <c r="DI256"/>
  <c r="DH256"/>
  <c r="DG256"/>
  <c r="DF256"/>
  <c r="DE256"/>
  <c r="DD256"/>
  <c r="DC256"/>
  <c r="DB256"/>
  <c r="DA256"/>
  <c r="CZ256"/>
  <c r="CY256"/>
  <c r="CX256"/>
  <c r="CW256"/>
  <c r="CV256"/>
  <c r="CU256"/>
  <c r="CT256"/>
  <c r="CS256"/>
  <c r="CR256"/>
  <c r="CK256"/>
  <c r="CC256"/>
  <c r="CB256"/>
  <c r="CA256"/>
  <c r="BY256"/>
  <c r="BX256"/>
  <c r="BV256"/>
  <c r="BU256"/>
  <c r="BT256"/>
  <c r="BS256"/>
  <c r="BR256"/>
  <c r="BQ256"/>
  <c r="BP256"/>
  <c r="BO256"/>
  <c r="BK256"/>
  <c r="BJ256"/>
  <c r="BH256"/>
  <c r="BE256"/>
  <c r="BD256"/>
  <c r="BC256"/>
  <c r="BB256"/>
  <c r="BA256"/>
  <c r="AZ256"/>
  <c r="AX256"/>
  <c r="AV256"/>
  <c r="AU256"/>
  <c r="AT256"/>
  <c r="AS256"/>
  <c r="AR256"/>
  <c r="AQ256"/>
  <c r="AP256"/>
  <c r="AO256"/>
  <c r="AN256"/>
  <c r="AM256"/>
  <c r="AL256"/>
  <c r="AJ256"/>
  <c r="AG256"/>
  <c r="AD256"/>
  <c r="AC256"/>
  <c r="AB256"/>
  <c r="AA256"/>
  <c r="Z256"/>
  <c r="X256"/>
  <c r="Q256"/>
  <c r="P256"/>
  <c r="M256"/>
  <c r="L256"/>
  <c r="K256"/>
  <c r="J256"/>
  <c r="G256"/>
  <c r="DS255"/>
  <c r="DQ255"/>
  <c r="DP255"/>
  <c r="DO255"/>
  <c r="DN255"/>
  <c r="DM255"/>
  <c r="DL255"/>
  <c r="DK255"/>
  <c r="DJ255"/>
  <c r="DI255"/>
  <c r="DH255"/>
  <c r="DG255"/>
  <c r="DF255"/>
  <c r="DE255"/>
  <c r="DD255"/>
  <c r="DC255"/>
  <c r="DB255"/>
  <c r="DA255"/>
  <c r="CZ255"/>
  <c r="CY255"/>
  <c r="CX255"/>
  <c r="CW255"/>
  <c r="CV255"/>
  <c r="CU255"/>
  <c r="CT255"/>
  <c r="CS255"/>
  <c r="CR255"/>
  <c r="CK255"/>
  <c r="CC255"/>
  <c r="CB255"/>
  <c r="CA255"/>
  <c r="BY255"/>
  <c r="BX255"/>
  <c r="BV255"/>
  <c r="BU255"/>
  <c r="BT255"/>
  <c r="BS255"/>
  <c r="BR255"/>
  <c r="BQ255"/>
  <c r="BP255"/>
  <c r="BO255"/>
  <c r="BH255"/>
  <c r="BD255"/>
  <c r="AZ255"/>
  <c r="AX255"/>
  <c r="AS255"/>
  <c r="AP255"/>
  <c r="AL255"/>
  <c r="AJ255"/>
  <c r="AI255"/>
  <c r="AH255"/>
  <c r="AG255"/>
  <c r="AD255"/>
  <c r="AC255"/>
  <c r="AB255"/>
  <c r="AA255"/>
  <c r="Z255"/>
  <c r="X255"/>
  <c r="S255"/>
  <c r="R255"/>
  <c r="Q255"/>
  <c r="P255"/>
  <c r="O255"/>
  <c r="N255"/>
  <c r="L255"/>
  <c r="G255"/>
  <c r="DS254"/>
  <c r="DQ254"/>
  <c r="DP254"/>
  <c r="DO254"/>
  <c r="DN254"/>
  <c r="DM254"/>
  <c r="DL254"/>
  <c r="DK254"/>
  <c r="DJ254"/>
  <c r="DI254"/>
  <c r="DH254"/>
  <c r="DG254"/>
  <c r="DF254"/>
  <c r="DE254"/>
  <c r="DD254"/>
  <c r="DC254"/>
  <c r="DB254"/>
  <c r="DA254"/>
  <c r="CZ254"/>
  <c r="CY254"/>
  <c r="CX254"/>
  <c r="CW254"/>
  <c r="CV254"/>
  <c r="CU254"/>
  <c r="CT254"/>
  <c r="CS254"/>
  <c r="CR254"/>
  <c r="CK254"/>
  <c r="CB254"/>
  <c r="CA254"/>
  <c r="BZ254"/>
  <c r="BY254"/>
  <c r="BX254"/>
  <c r="BW254"/>
  <c r="BV254"/>
  <c r="BU254"/>
  <c r="BN254"/>
  <c r="BM254"/>
  <c r="BL254"/>
  <c r="BH254"/>
  <c r="AP254"/>
  <c r="AL254"/>
  <c r="AJ254"/>
  <c r="AI254"/>
  <c r="AH254"/>
  <c r="AG254"/>
  <c r="AD254"/>
  <c r="AC254"/>
  <c r="AB254"/>
  <c r="AA254"/>
  <c r="Z254"/>
  <c r="X254"/>
  <c r="S254"/>
  <c r="R254"/>
  <c r="Q254"/>
  <c r="P254"/>
  <c r="O254"/>
  <c r="N254"/>
  <c r="L254"/>
  <c r="G254"/>
  <c r="DS253"/>
  <c r="DQ253"/>
  <c r="DP253"/>
  <c r="DO253"/>
  <c r="DN253"/>
  <c r="DM253"/>
  <c r="DL253"/>
  <c r="DK253"/>
  <c r="DJ253"/>
  <c r="DI253"/>
  <c r="DH253"/>
  <c r="DG253"/>
  <c r="DF253"/>
  <c r="DE253"/>
  <c r="DD253"/>
  <c r="DC253"/>
  <c r="DB253"/>
  <c r="DA253"/>
  <c r="CZ253"/>
  <c r="CY253"/>
  <c r="CX253"/>
  <c r="CW253"/>
  <c r="CV253"/>
  <c r="CU253"/>
  <c r="CT253"/>
  <c r="CS253"/>
  <c r="CR253"/>
  <c r="CK253"/>
  <c r="CC253"/>
  <c r="CB253"/>
  <c r="CA253"/>
  <c r="BZ253"/>
  <c r="BY253"/>
  <c r="BX253"/>
  <c r="BV253"/>
  <c r="BU253"/>
  <c r="BT253"/>
  <c r="BS253"/>
  <c r="BR253"/>
  <c r="BN253"/>
  <c r="BM253"/>
  <c r="BL253"/>
  <c r="BK253"/>
  <c r="BJ253"/>
  <c r="BI253"/>
  <c r="BH253"/>
  <c r="BG253"/>
  <c r="BF253"/>
  <c r="BE253"/>
  <c r="BD253"/>
  <c r="BC253"/>
  <c r="BB253"/>
  <c r="BA253"/>
  <c r="AZ253"/>
  <c r="AY253"/>
  <c r="AX253"/>
  <c r="AV253"/>
  <c r="AU253"/>
  <c r="AT253"/>
  <c r="AS253"/>
  <c r="AR253"/>
  <c r="AQ253"/>
  <c r="AP253"/>
  <c r="AO253"/>
  <c r="AN253"/>
  <c r="AM253"/>
  <c r="AL253"/>
  <c r="AJ253"/>
  <c r="AI253"/>
  <c r="AH253"/>
  <c r="AG253"/>
  <c r="AD253"/>
  <c r="AC253"/>
  <c r="AB253"/>
  <c r="AA253"/>
  <c r="Z253"/>
  <c r="X253"/>
  <c r="S253"/>
  <c r="R253"/>
  <c r="Q253"/>
  <c r="P253"/>
  <c r="O253"/>
  <c r="N253"/>
  <c r="M253"/>
  <c r="L253"/>
  <c r="K253"/>
  <c r="J253"/>
  <c r="G253"/>
  <c r="DS252"/>
  <c r="DQ252"/>
  <c r="DP252"/>
  <c r="DP250" s="1"/>
  <c r="DO252"/>
  <c r="DN252"/>
  <c r="DN250" s="1"/>
  <c r="DM252"/>
  <c r="DL252"/>
  <c r="DL250" s="1"/>
  <c r="DK252"/>
  <c r="DJ252"/>
  <c r="DJ250" s="1"/>
  <c r="DI252"/>
  <c r="DH252"/>
  <c r="DH250" s="1"/>
  <c r="DG252"/>
  <c r="DF252"/>
  <c r="DF250" s="1"/>
  <c r="DE252"/>
  <c r="DD252"/>
  <c r="DD250" s="1"/>
  <c r="DC252"/>
  <c r="DB252"/>
  <c r="DB250" s="1"/>
  <c r="DA252"/>
  <c r="CZ252"/>
  <c r="CZ250" s="1"/>
  <c r="CY252"/>
  <c r="CX252"/>
  <c r="CX250" s="1"/>
  <c r="CW252"/>
  <c r="CV252"/>
  <c r="CV250" s="1"/>
  <c r="CU252"/>
  <c r="CT252"/>
  <c r="CT250" s="1"/>
  <c r="CS252"/>
  <c r="CR252"/>
  <c r="CR250" s="1"/>
  <c r="CK252"/>
  <c r="CC252"/>
  <c r="CB252"/>
  <c r="CB250" s="1"/>
  <c r="CA252"/>
  <c r="BY252"/>
  <c r="BX252"/>
  <c r="BX250" s="1"/>
  <c r="BV252"/>
  <c r="BV250" s="1"/>
  <c r="BU252"/>
  <c r="BT252"/>
  <c r="BS252"/>
  <c r="BR252"/>
  <c r="BQ252"/>
  <c r="BP252"/>
  <c r="BO252"/>
  <c r="BK252"/>
  <c r="BJ252"/>
  <c r="BI252"/>
  <c r="BH252"/>
  <c r="BG252"/>
  <c r="BF252"/>
  <c r="BE252"/>
  <c r="BD252"/>
  <c r="BC252"/>
  <c r="BB252"/>
  <c r="BA252"/>
  <c r="AZ252"/>
  <c r="AY252"/>
  <c r="AX252"/>
  <c r="AV252"/>
  <c r="AU252"/>
  <c r="AT252"/>
  <c r="AS252"/>
  <c r="AR252"/>
  <c r="AQ252"/>
  <c r="AP252"/>
  <c r="AP250" s="1"/>
  <c r="AO252"/>
  <c r="AN252"/>
  <c r="AM252"/>
  <c r="AL252"/>
  <c r="AL250" s="1"/>
  <c r="AJ252"/>
  <c r="AJ250" s="1"/>
  <c r="AG252"/>
  <c r="AD252"/>
  <c r="AD250" s="1"/>
  <c r="AC252"/>
  <c r="AB252"/>
  <c r="AB250" s="1"/>
  <c r="AA252"/>
  <c r="Z252"/>
  <c r="Z250" s="1"/>
  <c r="X252"/>
  <c r="S252"/>
  <c r="R252"/>
  <c r="Q252"/>
  <c r="P252"/>
  <c r="P250" s="1"/>
  <c r="O252"/>
  <c r="N252"/>
  <c r="M252"/>
  <c r="L252"/>
  <c r="K252"/>
  <c r="J252"/>
  <c r="G252"/>
  <c r="DS250"/>
  <c r="DQ250"/>
  <c r="DO250"/>
  <c r="DM250"/>
  <c r="DK250"/>
  <c r="DI250"/>
  <c r="DG250"/>
  <c r="DE250"/>
  <c r="DC250"/>
  <c r="DA250"/>
  <c r="CY250"/>
  <c r="CW250"/>
  <c r="CU250"/>
  <c r="CS250"/>
  <c r="CK250"/>
  <c r="CA250"/>
  <c r="BY250"/>
  <c r="BU250"/>
  <c r="AG250"/>
  <c r="AC250"/>
  <c r="AA250"/>
  <c r="X250"/>
  <c r="Q250"/>
  <c r="G250"/>
  <c r="DS248"/>
  <c r="DQ248"/>
  <c r="DP248"/>
  <c r="DO248"/>
  <c r="DN248"/>
  <c r="DM248"/>
  <c r="DL248"/>
  <c r="DK248"/>
  <c r="DJ248"/>
  <c r="DI248"/>
  <c r="DH248"/>
  <c r="DG248"/>
  <c r="DF248"/>
  <c r="DE248"/>
  <c r="DD248"/>
  <c r="DC248"/>
  <c r="DB248"/>
  <c r="DA248"/>
  <c r="CZ248"/>
  <c r="CY248"/>
  <c r="CX248"/>
  <c r="CW248"/>
  <c r="CV248"/>
  <c r="CU248"/>
  <c r="CT248"/>
  <c r="CS248"/>
  <c r="CR248"/>
  <c r="CB248"/>
  <c r="CA248"/>
  <c r="BY248"/>
  <c r="BX248"/>
  <c r="BV248"/>
  <c r="BU248"/>
  <c r="AP248"/>
  <c r="AL248"/>
  <c r="AJ248"/>
  <c r="AG248"/>
  <c r="AD248"/>
  <c r="AC248"/>
  <c r="AB248"/>
  <c r="AA248"/>
  <c r="Z248"/>
  <c r="X248"/>
  <c r="Q248"/>
  <c r="P248"/>
  <c r="G248"/>
  <c r="CK248" s="1"/>
  <c r="DR54"/>
  <c r="CH54"/>
  <c r="CG54" s="1"/>
  <c r="CF54"/>
  <c r="CD54"/>
  <c r="BZ54"/>
  <c r="BN54"/>
  <c r="BL54"/>
  <c r="AI54"/>
  <c r="AI258" s="1"/>
  <c r="AH54"/>
  <c r="AF54" s="1"/>
  <c r="W54"/>
  <c r="R54"/>
  <c r="CM54" s="1"/>
  <c r="O54"/>
  <c r="N54"/>
  <c r="T54" s="1"/>
  <c r="DR53"/>
  <c r="CH53"/>
  <c r="CG53" s="1"/>
  <c r="CF53"/>
  <c r="CE53" s="1"/>
  <c r="CD53"/>
  <c r="BO53"/>
  <c r="AH53"/>
  <c r="AF53"/>
  <c r="S53"/>
  <c r="BQ53" s="1"/>
  <c r="R53"/>
  <c r="CM53" s="1"/>
  <c r="O53"/>
  <c r="N53"/>
  <c r="T53" s="1"/>
  <c r="DR52"/>
  <c r="CH52"/>
  <c r="CG52" s="1"/>
  <c r="CF52"/>
  <c r="CE52" s="1"/>
  <c r="CD52"/>
  <c r="BZ52"/>
  <c r="BN52"/>
  <c r="BL52"/>
  <c r="AH52"/>
  <c r="W52"/>
  <c r="R52"/>
  <c r="V52" s="1"/>
  <c r="U52" s="1"/>
  <c r="O52"/>
  <c r="O258" s="1"/>
  <c r="N52"/>
  <c r="DR51"/>
  <c r="CH51"/>
  <c r="CG51" s="1"/>
  <c r="CF51"/>
  <c r="CE51" s="1"/>
  <c r="CD51"/>
  <c r="BO51"/>
  <c r="AH51"/>
  <c r="AF51" s="1"/>
  <c r="S51"/>
  <c r="BQ51" s="1"/>
  <c r="R51"/>
  <c r="O51"/>
  <c r="N51"/>
  <c r="T51" s="1"/>
  <c r="DR50"/>
  <c r="CH50"/>
  <c r="CG50" s="1"/>
  <c r="CF50"/>
  <c r="CE50" s="1"/>
  <c r="CD50"/>
  <c r="BO50"/>
  <c r="AH50"/>
  <c r="AF50" s="1"/>
  <c r="S50"/>
  <c r="BQ50" s="1"/>
  <c r="R50"/>
  <c r="CM50" s="1"/>
  <c r="O50"/>
  <c r="N50"/>
  <c r="T50" s="1"/>
  <c r="DR49"/>
  <c r="CH49"/>
  <c r="CG49" s="1"/>
  <c r="CF49"/>
  <c r="CE49" s="1"/>
  <c r="CD49"/>
  <c r="BQ49"/>
  <c r="BO49"/>
  <c r="AH49"/>
  <c r="AF49" s="1"/>
  <c r="W49"/>
  <c r="R49"/>
  <c r="CN49" s="1"/>
  <c r="O49"/>
  <c r="N49"/>
  <c r="T49" s="1"/>
  <c r="DR48"/>
  <c r="DR258" s="1"/>
  <c r="CN48"/>
  <c r="CM48"/>
  <c r="CL48"/>
  <c r="CF48"/>
  <c r="CF258" s="1"/>
  <c r="BN48"/>
  <c r="BN258" s="1"/>
  <c r="BM48"/>
  <c r="BL48"/>
  <c r="BJ48"/>
  <c r="BJ258" s="1"/>
  <c r="BI48"/>
  <c r="BI258" s="1"/>
  <c r="BH48"/>
  <c r="BH258" s="1"/>
  <c r="BG48"/>
  <c r="BG258" s="1"/>
  <c r="BF48"/>
  <c r="BF258" s="1"/>
  <c r="BE48"/>
  <c r="BE258" s="1"/>
  <c r="BD48"/>
  <c r="BD258" s="1"/>
  <c r="BC48"/>
  <c r="BC258" s="1"/>
  <c r="BB48"/>
  <c r="BB258" s="1"/>
  <c r="BA48"/>
  <c r="BA258" s="1"/>
  <c r="AY48"/>
  <c r="AY258" s="1"/>
  <c r="AW48"/>
  <c r="AW258" s="1"/>
  <c r="AV48"/>
  <c r="AV258" s="1"/>
  <c r="AU48"/>
  <c r="AU258" s="1"/>
  <c r="AT48"/>
  <c r="AT258" s="1"/>
  <c r="AR48"/>
  <c r="AR258" s="1"/>
  <c r="AQ48"/>
  <c r="AQ258" s="1"/>
  <c r="AO48"/>
  <c r="AO258" s="1"/>
  <c r="AN48"/>
  <c r="AN258" s="1"/>
  <c r="AF48"/>
  <c r="W48"/>
  <c r="W258" s="1"/>
  <c r="V48"/>
  <c r="U48" s="1"/>
  <c r="T48"/>
  <c r="L48"/>
  <c r="L258" s="1"/>
  <c r="K48"/>
  <c r="K258" s="1"/>
  <c r="J48"/>
  <c r="J258" s="1"/>
  <c r="DR47"/>
  <c r="CH47"/>
  <c r="CG47" s="1"/>
  <c r="CF47"/>
  <c r="CD47"/>
  <c r="BO47"/>
  <c r="AH47"/>
  <c r="AF47" s="1"/>
  <c r="S47"/>
  <c r="W47" s="1"/>
  <c r="R47"/>
  <c r="CM47" s="1"/>
  <c r="O47"/>
  <c r="N47"/>
  <c r="T47" s="1"/>
  <c r="DR46"/>
  <c r="CH46"/>
  <c r="CG46" s="1"/>
  <c r="CF46"/>
  <c r="CD46"/>
  <c r="BO46"/>
  <c r="AH46"/>
  <c r="AF46" s="1"/>
  <c r="S46"/>
  <c r="W46" s="1"/>
  <c r="R46"/>
  <c r="CM46" s="1"/>
  <c r="O46"/>
  <c r="N46"/>
  <c r="T46" s="1"/>
  <c r="DR45"/>
  <c r="CN45"/>
  <c r="CH45"/>
  <c r="CG45" s="1"/>
  <c r="CF45"/>
  <c r="CE45" s="1"/>
  <c r="CD45"/>
  <c r="BO45"/>
  <c r="AH45"/>
  <c r="S45"/>
  <c r="S257" s="1"/>
  <c r="R45"/>
  <c r="CL45" s="1"/>
  <c r="O45"/>
  <c r="O257" s="1"/>
  <c r="N45"/>
  <c r="DR44"/>
  <c r="CN44"/>
  <c r="CM44"/>
  <c r="CL44"/>
  <c r="CH44"/>
  <c r="CG44" s="1"/>
  <c r="CF44"/>
  <c r="CD44"/>
  <c r="BZ44"/>
  <c r="BW44"/>
  <c r="BN44"/>
  <c r="BM44"/>
  <c r="BL44"/>
  <c r="AW44"/>
  <c r="AF44"/>
  <c r="AE44"/>
  <c r="AK44" s="1"/>
  <c r="CP44" s="1"/>
  <c r="W44"/>
  <c r="V44"/>
  <c r="U44" s="1"/>
  <c r="T44"/>
  <c r="DR43"/>
  <c r="CN43"/>
  <c r="CM43"/>
  <c r="CL43"/>
  <c r="CH43"/>
  <c r="CG43" s="1"/>
  <c r="CF43"/>
  <c r="CD43"/>
  <c r="BZ43"/>
  <c r="BW43"/>
  <c r="BN43"/>
  <c r="BM43"/>
  <c r="BL43"/>
  <c r="AW43"/>
  <c r="AF43"/>
  <c r="AE43"/>
  <c r="AK43" s="1"/>
  <c r="CP43" s="1"/>
  <c r="W43"/>
  <c r="V43"/>
  <c r="U43" s="1"/>
  <c r="T43"/>
  <c r="DR42"/>
  <c r="CN42"/>
  <c r="CM42"/>
  <c r="CL42"/>
  <c r="CH42"/>
  <c r="CG42" s="1"/>
  <c r="CF42"/>
  <c r="CD42"/>
  <c r="BZ42"/>
  <c r="BW42"/>
  <c r="BN42"/>
  <c r="BM42"/>
  <c r="BL42"/>
  <c r="AW42"/>
  <c r="AI42"/>
  <c r="AH42"/>
  <c r="AF42" s="1"/>
  <c r="W42"/>
  <c r="V42"/>
  <c r="U42" s="1"/>
  <c r="T42"/>
  <c r="DR41"/>
  <c r="DR255" s="1"/>
  <c r="CN41"/>
  <c r="CM41"/>
  <c r="CM255" s="1"/>
  <c r="CL41"/>
  <c r="CL255" s="1"/>
  <c r="CF41"/>
  <c r="CF255" s="1"/>
  <c r="BN41"/>
  <c r="BN255" s="1"/>
  <c r="BM41"/>
  <c r="BM255" s="1"/>
  <c r="BL41"/>
  <c r="BL255" s="1"/>
  <c r="BK41"/>
  <c r="BK255" s="1"/>
  <c r="BJ41"/>
  <c r="BJ255" s="1"/>
  <c r="BI41"/>
  <c r="BI255" s="1"/>
  <c r="BG41"/>
  <c r="BG255" s="1"/>
  <c r="BF41"/>
  <c r="BF255" s="1"/>
  <c r="BE41"/>
  <c r="BE255" s="1"/>
  <c r="BC41"/>
  <c r="BC255" s="1"/>
  <c r="BB41"/>
  <c r="BB255" s="1"/>
  <c r="BA41"/>
  <c r="BA255" s="1"/>
  <c r="AY41"/>
  <c r="AY255" s="1"/>
  <c r="AV41"/>
  <c r="AV255" s="1"/>
  <c r="AU41"/>
  <c r="AU255" s="1"/>
  <c r="AT41"/>
  <c r="AT255" s="1"/>
  <c r="AR41"/>
  <c r="AR255" s="1"/>
  <c r="AQ41"/>
  <c r="AQ255" s="1"/>
  <c r="AO41"/>
  <c r="AO255" s="1"/>
  <c r="AN41"/>
  <c r="AN255" s="1"/>
  <c r="AM41"/>
  <c r="AM255" s="1"/>
  <c r="AF41"/>
  <c r="AF255" s="1"/>
  <c r="W41"/>
  <c r="W255" s="1"/>
  <c r="V41"/>
  <c r="V255" s="1"/>
  <c r="U255" s="1"/>
  <c r="T41"/>
  <c r="T255" s="1"/>
  <c r="M41"/>
  <c r="M255" s="1"/>
  <c r="K41"/>
  <c r="K255" s="1"/>
  <c r="J41"/>
  <c r="J255" s="1"/>
  <c r="DR40"/>
  <c r="CN40"/>
  <c r="CM40"/>
  <c r="CL40"/>
  <c r="CF40"/>
  <c r="CE40" s="1"/>
  <c r="BT40"/>
  <c r="BS40"/>
  <c r="BR40"/>
  <c r="BK40"/>
  <c r="BJ40"/>
  <c r="BI40"/>
  <c r="BG40"/>
  <c r="BF40"/>
  <c r="BE40"/>
  <c r="BD40"/>
  <c r="BC40"/>
  <c r="BB40"/>
  <c r="BA40"/>
  <c r="AZ40"/>
  <c r="AY40"/>
  <c r="AW40" s="1"/>
  <c r="AV40"/>
  <c r="AU40"/>
  <c r="AR40"/>
  <c r="AF40"/>
  <c r="AE40" s="1"/>
  <c r="AK40" s="1"/>
  <c r="W40"/>
  <c r="V40"/>
  <c r="U40" s="1"/>
  <c r="T40"/>
  <c r="M40"/>
  <c r="K40"/>
  <c r="CD40" s="1"/>
  <c r="J40"/>
  <c r="DR39"/>
  <c r="CN39"/>
  <c r="CM39"/>
  <c r="CL39"/>
  <c r="CH39"/>
  <c r="CG39" s="1"/>
  <c r="CF39"/>
  <c r="CE39" s="1"/>
  <c r="CD39"/>
  <c r="BQ39"/>
  <c r="BP39"/>
  <c r="BO39"/>
  <c r="AW39"/>
  <c r="AF39"/>
  <c r="W39"/>
  <c r="V39"/>
  <c r="U39" s="1"/>
  <c r="T39"/>
  <c r="DR38"/>
  <c r="CN38"/>
  <c r="CM38"/>
  <c r="CL38"/>
  <c r="CH38"/>
  <c r="CG38" s="1"/>
  <c r="CF38"/>
  <c r="CE38" s="1"/>
  <c r="CD38"/>
  <c r="BZ38"/>
  <c r="BW38"/>
  <c r="BN38"/>
  <c r="BM38"/>
  <c r="BL38"/>
  <c r="AW38"/>
  <c r="AI38"/>
  <c r="AI252" s="1"/>
  <c r="AH38"/>
  <c r="AH252" s="1"/>
  <c r="W38"/>
  <c r="V38"/>
  <c r="U38" s="1"/>
  <c r="T38"/>
  <c r="DR37"/>
  <c r="CN37"/>
  <c r="CM37"/>
  <c r="CL37"/>
  <c r="CH37"/>
  <c r="CF37"/>
  <c r="CD37"/>
  <c r="BZ37"/>
  <c r="BW37"/>
  <c r="BN37"/>
  <c r="BM37"/>
  <c r="BL37"/>
  <c r="AW37"/>
  <c r="AF37"/>
  <c r="W37"/>
  <c r="V37"/>
  <c r="U37" s="1"/>
  <c r="T37"/>
  <c r="DR36"/>
  <c r="CN36"/>
  <c r="CM36"/>
  <c r="CL36"/>
  <c r="CF36"/>
  <c r="CE36" s="1"/>
  <c r="BQ36"/>
  <c r="BP36"/>
  <c r="BO36"/>
  <c r="BK36"/>
  <c r="BJ36"/>
  <c r="BI36"/>
  <c r="BG36"/>
  <c r="BF36"/>
  <c r="BD36"/>
  <c r="BC36"/>
  <c r="BB36"/>
  <c r="BA36"/>
  <c r="AY36"/>
  <c r="AY254" s="1"/>
  <c r="AV36"/>
  <c r="AU36"/>
  <c r="AR36"/>
  <c r="AF36"/>
  <c r="AE36" s="1"/>
  <c r="AK36" s="1"/>
  <c r="W36"/>
  <c r="V36"/>
  <c r="U36" s="1"/>
  <c r="T36"/>
  <c r="M36"/>
  <c r="K36"/>
  <c r="CD36" s="1"/>
  <c r="J36"/>
  <c r="DR35"/>
  <c r="CH35"/>
  <c r="CG35" s="1"/>
  <c r="CF35"/>
  <c r="CE35" s="1"/>
  <c r="CD35"/>
  <c r="BZ35"/>
  <c r="BW35"/>
  <c r="BN35"/>
  <c r="BL35"/>
  <c r="AW35"/>
  <c r="AI35"/>
  <c r="AH35"/>
  <c r="AF35" s="1"/>
  <c r="W35"/>
  <c r="R35"/>
  <c r="CN35" s="1"/>
  <c r="O35"/>
  <c r="N35"/>
  <c r="T35" s="1"/>
  <c r="DR34"/>
  <c r="CN34"/>
  <c r="CM34"/>
  <c r="CL34"/>
  <c r="CH34"/>
  <c r="CG34" s="1"/>
  <c r="CF34"/>
  <c r="CD34"/>
  <c r="BZ34"/>
  <c r="BW34"/>
  <c r="BN34"/>
  <c r="BM34"/>
  <c r="BL34"/>
  <c r="AW34"/>
  <c r="AF34"/>
  <c r="AE34" s="1"/>
  <c r="AK34" s="1"/>
  <c r="CP34" s="1"/>
  <c r="W34"/>
  <c r="V34"/>
  <c r="U34" s="1"/>
  <c r="T34"/>
  <c r="DR33"/>
  <c r="CN33"/>
  <c r="CM33"/>
  <c r="CL33"/>
  <c r="CF33"/>
  <c r="CE33" s="1"/>
  <c r="CD33"/>
  <c r="BZ33"/>
  <c r="BW33"/>
  <c r="BN33"/>
  <c r="BM33"/>
  <c r="BL33"/>
  <c r="BI33"/>
  <c r="BG33"/>
  <c r="BF33"/>
  <c r="AY33"/>
  <c r="AI33"/>
  <c r="AH33"/>
  <c r="AF33" s="1"/>
  <c r="W33"/>
  <c r="V33"/>
  <c r="U33" s="1"/>
  <c r="T33"/>
  <c r="DR32"/>
  <c r="CN32"/>
  <c r="CM32"/>
  <c r="CL32"/>
  <c r="CH32"/>
  <c r="CG32" s="1"/>
  <c r="CF32"/>
  <c r="CJ32" s="1"/>
  <c r="CD32"/>
  <c r="BZ32"/>
  <c r="BW32"/>
  <c r="BN32"/>
  <c r="BM32"/>
  <c r="BL32"/>
  <c r="AW32"/>
  <c r="AF32"/>
  <c r="AE32" s="1"/>
  <c r="AK32" s="1"/>
  <c r="CP32" s="1"/>
  <c r="W32"/>
  <c r="V32"/>
  <c r="U32" s="1"/>
  <c r="T32"/>
  <c r="DR31"/>
  <c r="CN31"/>
  <c r="CM31"/>
  <c r="CL31"/>
  <c r="CH31"/>
  <c r="CG31" s="1"/>
  <c r="CF31"/>
  <c r="CJ31" s="1"/>
  <c r="CD31"/>
  <c r="BZ31"/>
  <c r="BW31"/>
  <c r="BN31"/>
  <c r="BM31"/>
  <c r="BL31"/>
  <c r="AW31"/>
  <c r="AI31"/>
  <c r="AH31"/>
  <c r="AF31" s="1"/>
  <c r="AE31" s="1"/>
  <c r="AK31" s="1"/>
  <c r="W31"/>
  <c r="V31"/>
  <c r="U31" s="1"/>
  <c r="T31"/>
  <c r="DR30"/>
  <c r="CN30"/>
  <c r="CM30"/>
  <c r="CL30"/>
  <c r="CH30"/>
  <c r="CG30" s="1"/>
  <c r="CF30"/>
  <c r="CD30"/>
  <c r="BZ30"/>
  <c r="BW30"/>
  <c r="BN30"/>
  <c r="BM30"/>
  <c r="BL30"/>
  <c r="AW30"/>
  <c r="AI30"/>
  <c r="AH30"/>
  <c r="AF30" s="1"/>
  <c r="W30"/>
  <c r="V30"/>
  <c r="U30" s="1"/>
  <c r="T30"/>
  <c r="DR29"/>
  <c r="CN29"/>
  <c r="CM29"/>
  <c r="CL29"/>
  <c r="CH29"/>
  <c r="CG29" s="1"/>
  <c r="CF29"/>
  <c r="CJ29" s="1"/>
  <c r="CD29"/>
  <c r="BZ29"/>
  <c r="BW29"/>
  <c r="BN29"/>
  <c r="BM29"/>
  <c r="BL29"/>
  <c r="AW29"/>
  <c r="AI29"/>
  <c r="AH29"/>
  <c r="AF29" s="1"/>
  <c r="W29"/>
  <c r="V29"/>
  <c r="U29" s="1"/>
  <c r="T29"/>
  <c r="DR28"/>
  <c r="CN28"/>
  <c r="CM28"/>
  <c r="CL28"/>
  <c r="CH28"/>
  <c r="CG28" s="1"/>
  <c r="CF28"/>
  <c r="CJ28" s="1"/>
  <c r="CD28"/>
  <c r="BQ28"/>
  <c r="BP28"/>
  <c r="BO28"/>
  <c r="AW28"/>
  <c r="AF28"/>
  <c r="AE28" s="1"/>
  <c r="AK28" s="1"/>
  <c r="CP28" s="1"/>
  <c r="W28"/>
  <c r="V28"/>
  <c r="U28" s="1"/>
  <c r="T28"/>
  <c r="DR27"/>
  <c r="CN27"/>
  <c r="CM27"/>
  <c r="CL27"/>
  <c r="CH27"/>
  <c r="CG27" s="1"/>
  <c r="BT27"/>
  <c r="BS27"/>
  <c r="BR27"/>
  <c r="BK27"/>
  <c r="BJ27"/>
  <c r="BI27"/>
  <c r="BG27"/>
  <c r="BF27"/>
  <c r="BE27"/>
  <c r="BD27"/>
  <c r="BC27"/>
  <c r="BB27"/>
  <c r="BA27"/>
  <c r="AZ27"/>
  <c r="AX27"/>
  <c r="AV27"/>
  <c r="AU27"/>
  <c r="AR27"/>
  <c r="AQ27"/>
  <c r="AO27"/>
  <c r="AN27"/>
  <c r="AM27"/>
  <c r="AF27"/>
  <c r="W27"/>
  <c r="V27"/>
  <c r="U27" s="1"/>
  <c r="T27"/>
  <c r="M27"/>
  <c r="K27"/>
  <c r="CD27" s="1"/>
  <c r="J27"/>
  <c r="DR26"/>
  <c r="CN26"/>
  <c r="CM26"/>
  <c r="CL26"/>
  <c r="CH26"/>
  <c r="CG26" s="1"/>
  <c r="CF26"/>
  <c r="CJ26" s="1"/>
  <c r="CD26"/>
  <c r="BQ26"/>
  <c r="BP26"/>
  <c r="BO26"/>
  <c r="AW26"/>
  <c r="AF26"/>
  <c r="AE26" s="1"/>
  <c r="AK26" s="1"/>
  <c r="CP26" s="1"/>
  <c r="W26"/>
  <c r="V26"/>
  <c r="U26" s="1"/>
  <c r="T26"/>
  <c r="DR25"/>
  <c r="CN25"/>
  <c r="CM25"/>
  <c r="CL25"/>
  <c r="CH25"/>
  <c r="CG25" s="1"/>
  <c r="CF25"/>
  <c r="CJ25" s="1"/>
  <c r="CD25"/>
  <c r="BZ25"/>
  <c r="BW25"/>
  <c r="BN25"/>
  <c r="BM25"/>
  <c r="BL25"/>
  <c r="AW25"/>
  <c r="AF25"/>
  <c r="AE25" s="1"/>
  <c r="AK25" s="1"/>
  <c r="CP25" s="1"/>
  <c r="W25"/>
  <c r="V25"/>
  <c r="U25" s="1"/>
  <c r="T25"/>
  <c r="DR24"/>
  <c r="CN24"/>
  <c r="CM24"/>
  <c r="CL24"/>
  <c r="CH24"/>
  <c r="CG24" s="1"/>
  <c r="CF24"/>
  <c r="CJ24" s="1"/>
  <c r="CD24"/>
  <c r="BZ24"/>
  <c r="BW24"/>
  <c r="BN24"/>
  <c r="BM24"/>
  <c r="BL24"/>
  <c r="AW24"/>
  <c r="AF24"/>
  <c r="AE24" s="1"/>
  <c r="AK24" s="1"/>
  <c r="CP24" s="1"/>
  <c r="W24"/>
  <c r="V24"/>
  <c r="U24" s="1"/>
  <c r="T24"/>
  <c r="DR23"/>
  <c r="CN23"/>
  <c r="CM23"/>
  <c r="CL23"/>
  <c r="CH23"/>
  <c r="CG23" s="1"/>
  <c r="CI23" s="1"/>
  <c r="CF23"/>
  <c r="CJ23" s="1"/>
  <c r="CD23"/>
  <c r="BQ23"/>
  <c r="BP23"/>
  <c r="BO23"/>
  <c r="AW23"/>
  <c r="AF23"/>
  <c r="W23"/>
  <c r="V23"/>
  <c r="U23" s="1"/>
  <c r="T23"/>
  <c r="DR22"/>
  <c r="CN22"/>
  <c r="CM22"/>
  <c r="CL22"/>
  <c r="CH22"/>
  <c r="CG22" s="1"/>
  <c r="CF22"/>
  <c r="CE22" s="1"/>
  <c r="CD22"/>
  <c r="BZ22"/>
  <c r="BW22"/>
  <c r="BN22"/>
  <c r="BM22"/>
  <c r="BL22"/>
  <c r="AW22"/>
  <c r="AI22"/>
  <c r="AH22"/>
  <c r="AF22" s="1"/>
  <c r="W22"/>
  <c r="V22"/>
  <c r="U22" s="1"/>
  <c r="T22"/>
  <c r="DR21"/>
  <c r="CN21"/>
  <c r="CM21"/>
  <c r="CL21"/>
  <c r="CH21"/>
  <c r="CG21" s="1"/>
  <c r="CC21"/>
  <c r="BQ21"/>
  <c r="BP21"/>
  <c r="BO21"/>
  <c r="BK21"/>
  <c r="BJ21"/>
  <c r="BI21"/>
  <c r="BG21"/>
  <c r="BF21"/>
  <c r="BE21"/>
  <c r="BD21"/>
  <c r="BC21"/>
  <c r="BB21"/>
  <c r="BA21"/>
  <c r="AZ21"/>
  <c r="AX21"/>
  <c r="AW21" s="1"/>
  <c r="AV21"/>
  <c r="AU21"/>
  <c r="AT21"/>
  <c r="AS21"/>
  <c r="AR21"/>
  <c r="AQ21"/>
  <c r="AO21"/>
  <c r="AN21"/>
  <c r="AM21"/>
  <c r="AF21"/>
  <c r="W21"/>
  <c r="V21"/>
  <c r="U21" s="1"/>
  <c r="T21"/>
  <c r="M21"/>
  <c r="K21"/>
  <c r="CD21" s="1"/>
  <c r="J21"/>
  <c r="DR20"/>
  <c r="CN20"/>
  <c r="CM20"/>
  <c r="CL20"/>
  <c r="CH20"/>
  <c r="CG20" s="1"/>
  <c r="CF20"/>
  <c r="CD20"/>
  <c r="BQ20"/>
  <c r="BP20"/>
  <c r="BO20"/>
  <c r="AW20"/>
  <c r="AF20"/>
  <c r="AE20" s="1"/>
  <c r="AK20" s="1"/>
  <c r="CP20" s="1"/>
  <c r="W20"/>
  <c r="V20"/>
  <c r="U20" s="1"/>
  <c r="T20"/>
  <c r="DR19"/>
  <c r="CF19"/>
  <c r="CE19" s="1"/>
  <c r="CD19"/>
  <c r="BZ19"/>
  <c r="BW19"/>
  <c r="BL19"/>
  <c r="BI19"/>
  <c r="BI256" s="1"/>
  <c r="BG19"/>
  <c r="BG256" s="1"/>
  <c r="BF19"/>
  <c r="BF256" s="1"/>
  <c r="AY19"/>
  <c r="AI19"/>
  <c r="AH19"/>
  <c r="AF19" s="1"/>
  <c r="S19"/>
  <c r="BN19" s="1"/>
  <c r="R19"/>
  <c r="CM19" s="1"/>
  <c r="O19"/>
  <c r="N19"/>
  <c r="T19" s="1"/>
  <c r="DR18"/>
  <c r="CN18"/>
  <c r="CM18"/>
  <c r="CL18"/>
  <c r="CH18"/>
  <c r="CG18" s="1"/>
  <c r="CF18"/>
  <c r="CD18"/>
  <c r="BZ18"/>
  <c r="BW18"/>
  <c r="BN18"/>
  <c r="BM18"/>
  <c r="BL18"/>
  <c r="AW18"/>
  <c r="AF18"/>
  <c r="AE18" s="1"/>
  <c r="AK18" s="1"/>
  <c r="CP18" s="1"/>
  <c r="W18"/>
  <c r="V18"/>
  <c r="U18" s="1"/>
  <c r="T18"/>
  <c r="DR17"/>
  <c r="CN17"/>
  <c r="CM17"/>
  <c r="CL17"/>
  <c r="CH17"/>
  <c r="CG17"/>
  <c r="CF17"/>
  <c r="CJ17" s="1"/>
  <c r="CE17"/>
  <c r="CI17" s="1"/>
  <c r="CD17"/>
  <c r="BQ17"/>
  <c r="BP17"/>
  <c r="BO17"/>
  <c r="AW17"/>
  <c r="AF17"/>
  <c r="AE17" s="1"/>
  <c r="AK17" s="1"/>
  <c r="CP17" s="1"/>
  <c r="W17"/>
  <c r="V17"/>
  <c r="U17" s="1"/>
  <c r="T17"/>
  <c r="DR16"/>
  <c r="CN16"/>
  <c r="CM16"/>
  <c r="CL16"/>
  <c r="CH16"/>
  <c r="CG16" s="1"/>
  <c r="CF16"/>
  <c r="CD16"/>
  <c r="BZ16"/>
  <c r="BW16"/>
  <c r="BN16"/>
  <c r="BM16"/>
  <c r="BL16"/>
  <c r="AW16"/>
  <c r="AI16"/>
  <c r="AH16"/>
  <c r="AF16" s="1"/>
  <c r="W16"/>
  <c r="V16"/>
  <c r="U16" s="1"/>
  <c r="T16"/>
  <c r="DR15"/>
  <c r="CN15"/>
  <c r="CM15"/>
  <c r="CL15"/>
  <c r="CH15"/>
  <c r="CG15" s="1"/>
  <c r="CF15"/>
  <c r="CD15"/>
  <c r="BQ15"/>
  <c r="BP15"/>
  <c r="BO15"/>
  <c r="AW15"/>
  <c r="AF15"/>
  <c r="AE15" s="1"/>
  <c r="AK15" s="1"/>
  <c r="CP15" s="1"/>
  <c r="W15"/>
  <c r="V15"/>
  <c r="U15" s="1"/>
  <c r="T15"/>
  <c r="DR14"/>
  <c r="CN14"/>
  <c r="CH14"/>
  <c r="CG14"/>
  <c r="CF14"/>
  <c r="CJ14" s="1"/>
  <c r="CE14"/>
  <c r="CI14" s="1"/>
  <c r="CD14"/>
  <c r="BZ14"/>
  <c r="BW14"/>
  <c r="BN14"/>
  <c r="BL14"/>
  <c r="AW14"/>
  <c r="AH14"/>
  <c r="AF14"/>
  <c r="W14"/>
  <c r="T14"/>
  <c r="R14"/>
  <c r="O14"/>
  <c r="N14"/>
  <c r="DR13"/>
  <c r="CN13"/>
  <c r="CM13"/>
  <c r="CL13"/>
  <c r="CH13"/>
  <c r="CG13" s="1"/>
  <c r="CF13"/>
  <c r="CD13"/>
  <c r="BQ13"/>
  <c r="BP13"/>
  <c r="BO13"/>
  <c r="AW13"/>
  <c r="AF13"/>
  <c r="AE13"/>
  <c r="AK13" s="1"/>
  <c r="CP13" s="1"/>
  <c r="W13"/>
  <c r="V13"/>
  <c r="U13" s="1"/>
  <c r="T13"/>
  <c r="DR12"/>
  <c r="CN12"/>
  <c r="CM12"/>
  <c r="CL12"/>
  <c r="CH12"/>
  <c r="CG12" s="1"/>
  <c r="CF12"/>
  <c r="CD12"/>
  <c r="BQ12"/>
  <c r="BP12"/>
  <c r="BO12"/>
  <c r="AW12"/>
  <c r="AF12"/>
  <c r="AE12"/>
  <c r="AK12" s="1"/>
  <c r="CP12" s="1"/>
  <c r="W12"/>
  <c r="V12"/>
  <c r="U12" s="1"/>
  <c r="T12"/>
  <c r="DR11"/>
  <c r="CN11"/>
  <c r="CM11"/>
  <c r="CL11"/>
  <c r="CH11"/>
  <c r="CG11" s="1"/>
  <c r="CF11"/>
  <c r="CD11"/>
  <c r="BZ11"/>
  <c r="BW11"/>
  <c r="BN11"/>
  <c r="BM11"/>
  <c r="BL11"/>
  <c r="AW11"/>
  <c r="AF11"/>
  <c r="AE11"/>
  <c r="AK11" s="1"/>
  <c r="CP11" s="1"/>
  <c r="W11"/>
  <c r="V11"/>
  <c r="U11" s="1"/>
  <c r="T11"/>
  <c r="DR10"/>
  <c r="CN10"/>
  <c r="CM10"/>
  <c r="CL10"/>
  <c r="CH10"/>
  <c r="CG10" s="1"/>
  <c r="CC10"/>
  <c r="BT10"/>
  <c r="BS10"/>
  <c r="BR10"/>
  <c r="BK10"/>
  <c r="BJ10"/>
  <c r="BI10"/>
  <c r="BG10"/>
  <c r="BF10"/>
  <c r="BE10"/>
  <c r="BD10"/>
  <c r="BC10"/>
  <c r="BB10"/>
  <c r="BA10"/>
  <c r="AZ10"/>
  <c r="AX10"/>
  <c r="AW10" s="1"/>
  <c r="AV10"/>
  <c r="AU10"/>
  <c r="AT10"/>
  <c r="AR10"/>
  <c r="AQ10"/>
  <c r="AO10"/>
  <c r="AN10"/>
  <c r="AM10"/>
  <c r="AF10"/>
  <c r="W10"/>
  <c r="V10"/>
  <c r="U10" s="1"/>
  <c r="T10"/>
  <c r="M10"/>
  <c r="K10"/>
  <c r="J10"/>
  <c r="DR9"/>
  <c r="DR253" s="1"/>
  <c r="CN9"/>
  <c r="CM9"/>
  <c r="CM253" s="1"/>
  <c r="CL9"/>
  <c r="CL253" s="1"/>
  <c r="CH9"/>
  <c r="CH253" s="1"/>
  <c r="CF9"/>
  <c r="CF253" s="1"/>
  <c r="CD9"/>
  <c r="CD253" s="1"/>
  <c r="BW9"/>
  <c r="BW253" s="1"/>
  <c r="BQ9"/>
  <c r="BQ253" s="1"/>
  <c r="BP9"/>
  <c r="BP253" s="1"/>
  <c r="BO9"/>
  <c r="BO253" s="1"/>
  <c r="AW9"/>
  <c r="AW253" s="1"/>
  <c r="AF9"/>
  <c r="AF253" s="1"/>
  <c r="W9"/>
  <c r="W253" s="1"/>
  <c r="V9"/>
  <c r="V253" s="1"/>
  <c r="U253" s="1"/>
  <c r="T9"/>
  <c r="T253" s="1"/>
  <c r="DR8"/>
  <c r="CN8"/>
  <c r="CM8"/>
  <c r="CL8"/>
  <c r="CH8"/>
  <c r="CF8"/>
  <c r="CE8" s="1"/>
  <c r="CD8"/>
  <c r="BQ8"/>
  <c r="BP8"/>
  <c r="BO8"/>
  <c r="AW8"/>
  <c r="AF8"/>
  <c r="W8"/>
  <c r="W254" s="1"/>
  <c r="V8"/>
  <c r="U8" s="1"/>
  <c r="T8"/>
  <c r="T254" s="1"/>
  <c r="DR7"/>
  <c r="CN7"/>
  <c r="CM7"/>
  <c r="CL7"/>
  <c r="CH7"/>
  <c r="CG7" s="1"/>
  <c r="CF7"/>
  <c r="CE7" s="1"/>
  <c r="CD7"/>
  <c r="BZ7"/>
  <c r="BW7"/>
  <c r="BN7"/>
  <c r="BM7"/>
  <c r="BL7"/>
  <c r="AW7"/>
  <c r="AI7"/>
  <c r="AH7"/>
  <c r="AF7" s="1"/>
  <c r="W7"/>
  <c r="V7"/>
  <c r="U7" s="1"/>
  <c r="T7"/>
  <c r="CJ8" i="1"/>
  <c r="CK8"/>
  <c r="CL8"/>
  <c r="CM8"/>
  <c r="CN8"/>
  <c r="CO8"/>
  <c r="CJ9"/>
  <c r="CK9"/>
  <c r="CL9"/>
  <c r="CM9"/>
  <c r="CN9"/>
  <c r="CO9"/>
  <c r="CJ10"/>
  <c r="CK10"/>
  <c r="CL10"/>
  <c r="CM10"/>
  <c r="CN10"/>
  <c r="CO10"/>
  <c r="CJ11"/>
  <c r="CK11"/>
  <c r="CL11"/>
  <c r="CM11"/>
  <c r="CN11"/>
  <c r="CO11"/>
  <c r="CJ12"/>
  <c r="CK12"/>
  <c r="CL12"/>
  <c r="CM12"/>
  <c r="CN12"/>
  <c r="CO12"/>
  <c r="CJ13"/>
  <c r="CK13"/>
  <c r="CL13"/>
  <c r="CM13"/>
  <c r="CN13"/>
  <c r="CO13"/>
  <c r="CJ14"/>
  <c r="CK14"/>
  <c r="CL14"/>
  <c r="CM14"/>
  <c r="CN14"/>
  <c r="CO14"/>
  <c r="CJ15"/>
  <c r="CK15"/>
  <c r="CL15"/>
  <c r="CM15"/>
  <c r="CN15"/>
  <c r="CO15"/>
  <c r="CJ16"/>
  <c r="CK16"/>
  <c r="CL16"/>
  <c r="CM16"/>
  <c r="CN16"/>
  <c r="CO16"/>
  <c r="CJ17"/>
  <c r="CK17"/>
  <c r="CL17"/>
  <c r="CM17"/>
  <c r="CN17"/>
  <c r="CO17"/>
  <c r="CJ18"/>
  <c r="CK18"/>
  <c r="CL18"/>
  <c r="CM18"/>
  <c r="CN18"/>
  <c r="CO18"/>
  <c r="CJ19"/>
  <c r="CK19"/>
  <c r="CL19"/>
  <c r="CM19"/>
  <c r="CN19"/>
  <c r="CO19"/>
  <c r="CJ20"/>
  <c r="CK20"/>
  <c r="CL20"/>
  <c r="CM20"/>
  <c r="CN20"/>
  <c r="CO20"/>
  <c r="CJ21"/>
  <c r="CK21"/>
  <c r="CL21"/>
  <c r="CM21"/>
  <c r="CN21"/>
  <c r="CO21"/>
  <c r="CJ22"/>
  <c r="CK22"/>
  <c r="CL22"/>
  <c r="CM22"/>
  <c r="CN22"/>
  <c r="CO22"/>
  <c r="CJ23"/>
  <c r="CK23"/>
  <c r="CL23"/>
  <c r="CM23"/>
  <c r="CN23"/>
  <c r="CO23"/>
  <c r="CJ24"/>
  <c r="CK24"/>
  <c r="CL24"/>
  <c r="CM24"/>
  <c r="CN24"/>
  <c r="CO24"/>
  <c r="CJ25"/>
  <c r="CK25"/>
  <c r="CL25"/>
  <c r="CM25"/>
  <c r="CN25"/>
  <c r="CO25"/>
  <c r="CJ26"/>
  <c r="CK26"/>
  <c r="CL26"/>
  <c r="CM26"/>
  <c r="CN26"/>
  <c r="CO26"/>
  <c r="CJ27"/>
  <c r="CK27"/>
  <c r="CL27"/>
  <c r="CM27"/>
  <c r="CN27"/>
  <c r="CO27"/>
  <c r="CJ28"/>
  <c r="CK28"/>
  <c r="CL28"/>
  <c r="CM28"/>
  <c r="CN28"/>
  <c r="CO28"/>
  <c r="CJ29"/>
  <c r="CK29"/>
  <c r="CL29"/>
  <c r="CM29"/>
  <c r="CN29"/>
  <c r="CO29"/>
  <c r="CJ30"/>
  <c r="CK30"/>
  <c r="CL30"/>
  <c r="CM30"/>
  <c r="CN30"/>
  <c r="CO30"/>
  <c r="CJ31"/>
  <c r="CK31"/>
  <c r="CL31"/>
  <c r="CM31"/>
  <c r="CN31"/>
  <c r="CO31"/>
  <c r="CJ32"/>
  <c r="CK32"/>
  <c r="CL32"/>
  <c r="CM32"/>
  <c r="CN32"/>
  <c r="CO32"/>
  <c r="CJ33"/>
  <c r="CK33"/>
  <c r="CL33"/>
  <c r="CM33"/>
  <c r="CN33"/>
  <c r="CO33"/>
  <c r="CJ34"/>
  <c r="CK34"/>
  <c r="CL34"/>
  <c r="CM34"/>
  <c r="CN34"/>
  <c r="CO34"/>
  <c r="CJ35"/>
  <c r="CK35"/>
  <c r="CL35"/>
  <c r="CM35"/>
  <c r="CN35"/>
  <c r="CO35"/>
  <c r="CJ36"/>
  <c r="CK36"/>
  <c r="CL36"/>
  <c r="CM36"/>
  <c r="CN36"/>
  <c r="CO36"/>
  <c r="CJ37"/>
  <c r="CK37"/>
  <c r="CL37"/>
  <c r="CM37"/>
  <c r="CN37"/>
  <c r="CO37"/>
  <c r="CJ38"/>
  <c r="CK38"/>
  <c r="CL38"/>
  <c r="CM38"/>
  <c r="CN38"/>
  <c r="CO38"/>
  <c r="CJ39"/>
  <c r="CK39"/>
  <c r="CL39"/>
  <c r="CM39"/>
  <c r="CN39"/>
  <c r="CO39"/>
  <c r="CJ40"/>
  <c r="CK40"/>
  <c r="CL40"/>
  <c r="CM40"/>
  <c r="CN40"/>
  <c r="CO40"/>
  <c r="CJ41"/>
  <c r="CK41"/>
  <c r="CL41"/>
  <c r="CM41"/>
  <c r="CN41"/>
  <c r="CO41"/>
  <c r="CJ42"/>
  <c r="CK42"/>
  <c r="CL42"/>
  <c r="CM42"/>
  <c r="CN42"/>
  <c r="CO42"/>
  <c r="CJ43"/>
  <c r="CK43"/>
  <c r="CL43"/>
  <c r="CM43"/>
  <c r="CN43"/>
  <c r="CO43"/>
  <c r="CJ44"/>
  <c r="CK44"/>
  <c r="CL44"/>
  <c r="CM44"/>
  <c r="CN44"/>
  <c r="CO44"/>
  <c r="CJ45"/>
  <c r="CK45"/>
  <c r="CL45"/>
  <c r="CM45"/>
  <c r="CN45"/>
  <c r="CO45"/>
  <c r="CJ46"/>
  <c r="CK46"/>
  <c r="CL46"/>
  <c r="CM46"/>
  <c r="CN46"/>
  <c r="CO46"/>
  <c r="CJ47"/>
  <c r="CK47"/>
  <c r="CL47"/>
  <c r="CM47"/>
  <c r="CN47"/>
  <c r="CO47"/>
  <c r="CJ48"/>
  <c r="CK48"/>
  <c r="CL48"/>
  <c r="CM48"/>
  <c r="CN48"/>
  <c r="CO48"/>
  <c r="CJ49"/>
  <c r="CK49"/>
  <c r="CL49"/>
  <c r="CM49"/>
  <c r="CN49"/>
  <c r="CO49"/>
  <c r="CJ50"/>
  <c r="CK50"/>
  <c r="CL50"/>
  <c r="CM50"/>
  <c r="CN50"/>
  <c r="CO50"/>
  <c r="CJ51"/>
  <c r="CK51"/>
  <c r="CL51"/>
  <c r="CM51"/>
  <c r="CN51"/>
  <c r="CO51"/>
  <c r="CJ52"/>
  <c r="CK52"/>
  <c r="CL52"/>
  <c r="CM52"/>
  <c r="CN52"/>
  <c r="CO52"/>
  <c r="CJ53"/>
  <c r="CK53"/>
  <c r="CL53"/>
  <c r="CM53"/>
  <c r="CN53"/>
  <c r="CO53"/>
  <c r="CJ54"/>
  <c r="CK54"/>
  <c r="CL54"/>
  <c r="CM54"/>
  <c r="CN54"/>
  <c r="CO54"/>
  <c r="CO7"/>
  <c r="CN7"/>
  <c r="CM7"/>
  <c r="CL7"/>
  <c r="CK7"/>
  <c r="CJ7"/>
  <c r="CJ15" i="2" l="1"/>
  <c r="CJ16"/>
  <c r="CJ18"/>
  <c r="CE24"/>
  <c r="CI24" s="1"/>
  <c r="CE26"/>
  <c r="CI26" s="1"/>
  <c r="AE29"/>
  <c r="AK29" s="1"/>
  <c r="AE30"/>
  <c r="AK30" s="1"/>
  <c r="CE31"/>
  <c r="CI31" s="1"/>
  <c r="T252"/>
  <c r="W252"/>
  <c r="AW252"/>
  <c r="BM252"/>
  <c r="BW252"/>
  <c r="CD252"/>
  <c r="CH252"/>
  <c r="CM252"/>
  <c r="DR252"/>
  <c r="AF38"/>
  <c r="CI38"/>
  <c r="CJ46"/>
  <c r="CE48"/>
  <c r="U41"/>
  <c r="U9"/>
  <c r="CH40"/>
  <c r="CG40" s="1"/>
  <c r="CM254"/>
  <c r="DR254"/>
  <c r="CJ11"/>
  <c r="CJ12"/>
  <c r="CJ13"/>
  <c r="CE15"/>
  <c r="CI15" s="1"/>
  <c r="CE16"/>
  <c r="CI16" s="1"/>
  <c r="CE18"/>
  <c r="CI18" s="1"/>
  <c r="CJ20"/>
  <c r="CI22"/>
  <c r="CE25"/>
  <c r="CI25" s="1"/>
  <c r="CE29"/>
  <c r="CI29" s="1"/>
  <c r="CJ30"/>
  <c r="CE32"/>
  <c r="CI32" s="1"/>
  <c r="CJ34"/>
  <c r="CI35"/>
  <c r="CM35"/>
  <c r="BZ41"/>
  <c r="BZ255" s="1"/>
  <c r="CJ42"/>
  <c r="CJ43"/>
  <c r="CJ44"/>
  <c r="AH257"/>
  <c r="CE46"/>
  <c r="CI46" s="1"/>
  <c r="CJ47"/>
  <c r="CN47"/>
  <c r="W51"/>
  <c r="CI52"/>
  <c r="CJ54"/>
  <c r="V254"/>
  <c r="U254" s="1"/>
  <c r="AF254"/>
  <c r="CL254"/>
  <c r="CE9"/>
  <c r="CE253" s="1"/>
  <c r="CG9"/>
  <c r="CG253" s="1"/>
  <c r="CE11"/>
  <c r="CI11" s="1"/>
  <c r="CE12"/>
  <c r="CI12" s="1"/>
  <c r="CE13"/>
  <c r="CI13" s="1"/>
  <c r="AE16"/>
  <c r="AK16" s="1"/>
  <c r="AE19"/>
  <c r="AK19" s="1"/>
  <c r="CN19"/>
  <c r="CE20"/>
  <c r="CI20" s="1"/>
  <c r="CF21"/>
  <c r="CE21" s="1"/>
  <c r="CI21" s="1"/>
  <c r="CE28"/>
  <c r="CI28" s="1"/>
  <c r="CE30"/>
  <c r="CI30" s="1"/>
  <c r="AE33"/>
  <c r="AK33" s="1"/>
  <c r="CE34"/>
  <c r="CI34" s="1"/>
  <c r="BM35"/>
  <c r="AW36"/>
  <c r="CH36"/>
  <c r="CG36" s="1"/>
  <c r="V252"/>
  <c r="U252" s="1"/>
  <c r="AF252"/>
  <c r="BL252"/>
  <c r="BN252"/>
  <c r="BZ252"/>
  <c r="CF252"/>
  <c r="CL252"/>
  <c r="CI40"/>
  <c r="AE41"/>
  <c r="AE255" s="1"/>
  <c r="CE41"/>
  <c r="CE255" s="1"/>
  <c r="CE42"/>
  <c r="CI42" s="1"/>
  <c r="CQ43"/>
  <c r="CE43"/>
  <c r="CI43" s="1"/>
  <c r="CQ44"/>
  <c r="CE44"/>
  <c r="CI44" s="1"/>
  <c r="V45"/>
  <c r="U45" s="1"/>
  <c r="BO257"/>
  <c r="DR257"/>
  <c r="CN46"/>
  <c r="V47"/>
  <c r="U47" s="1"/>
  <c r="CE47"/>
  <c r="CI47" s="1"/>
  <c r="CL47"/>
  <c r="BZ48"/>
  <c r="BZ258" s="1"/>
  <c r="CI49"/>
  <c r="CM49"/>
  <c r="W50"/>
  <c r="CI51"/>
  <c r="W53"/>
  <c r="CH254"/>
  <c r="CD10"/>
  <c r="V19"/>
  <c r="U19" s="1"/>
  <c r="CL19"/>
  <c r="CI36"/>
  <c r="V46"/>
  <c r="U46" s="1"/>
  <c r="CL46"/>
  <c r="BP49"/>
  <c r="CE54"/>
  <c r="CI54" s="1"/>
  <c r="CQ11"/>
  <c r="CQ12"/>
  <c r="CQ13"/>
  <c r="CE256"/>
  <c r="CI7"/>
  <c r="AH256"/>
  <c r="AH248"/>
  <c r="BL256"/>
  <c r="BL248"/>
  <c r="BN256"/>
  <c r="BN248"/>
  <c r="BZ256"/>
  <c r="DR256"/>
  <c r="DR248"/>
  <c r="BO254"/>
  <c r="BO248"/>
  <c r="BQ254"/>
  <c r="J254"/>
  <c r="J248"/>
  <c r="M254"/>
  <c r="M250" s="1"/>
  <c r="M248"/>
  <c r="AN254"/>
  <c r="AN248"/>
  <c r="AQ254"/>
  <c r="AQ250" s="1"/>
  <c r="AQ248"/>
  <c r="AT254"/>
  <c r="AT248"/>
  <c r="AV254"/>
  <c r="AV248"/>
  <c r="AX254"/>
  <c r="AX248"/>
  <c r="BA254"/>
  <c r="BA250" s="1"/>
  <c r="BA248"/>
  <c r="BC254"/>
  <c r="BC250" s="1"/>
  <c r="BC248"/>
  <c r="BE254"/>
  <c r="BE250" s="1"/>
  <c r="BE248"/>
  <c r="BG254"/>
  <c r="BG250" s="1"/>
  <c r="BG248"/>
  <c r="BJ254"/>
  <c r="BJ248"/>
  <c r="BR254"/>
  <c r="BR248"/>
  <c r="BT254"/>
  <c r="BT248"/>
  <c r="N256"/>
  <c r="N248"/>
  <c r="R256"/>
  <c r="R248"/>
  <c r="CM14"/>
  <c r="S256"/>
  <c r="S250" s="1"/>
  <c r="S248"/>
  <c r="W19"/>
  <c r="AY256"/>
  <c r="AY248"/>
  <c r="CH19"/>
  <c r="CG19" s="1"/>
  <c r="AW19"/>
  <c r="AE21"/>
  <c r="AK21" s="1"/>
  <c r="CO21" s="1"/>
  <c r="CQ29"/>
  <c r="CO29"/>
  <c r="CQ30"/>
  <c r="CO30"/>
  <c r="CQ31"/>
  <c r="CO31"/>
  <c r="CH33"/>
  <c r="CG33" s="1"/>
  <c r="CI33" s="1"/>
  <c r="AW33"/>
  <c r="CQ40"/>
  <c r="CO40"/>
  <c r="AE46"/>
  <c r="AE7"/>
  <c r="AE8"/>
  <c r="CG8"/>
  <c r="CG254" s="1"/>
  <c r="AE9"/>
  <c r="BO250"/>
  <c r="CJ9"/>
  <c r="CJ253" s="1"/>
  <c r="AE10"/>
  <c r="AK10" s="1"/>
  <c r="CP10" s="1"/>
  <c r="CF10"/>
  <c r="CO10"/>
  <c r="CO11"/>
  <c r="CO12"/>
  <c r="CO13"/>
  <c r="V14"/>
  <c r="U14" s="1"/>
  <c r="AE14"/>
  <c r="AK14" s="1"/>
  <c r="CP14" s="1"/>
  <c r="BM14"/>
  <c r="CL14"/>
  <c r="CQ15"/>
  <c r="CQ18"/>
  <c r="CJ19"/>
  <c r="CQ24"/>
  <c r="CQ26"/>
  <c r="CP29"/>
  <c r="CP30"/>
  <c r="CP31"/>
  <c r="CQ32"/>
  <c r="CQ34"/>
  <c r="CP36"/>
  <c r="CI39"/>
  <c r="T256"/>
  <c r="W256"/>
  <c r="AF256"/>
  <c r="AI256"/>
  <c r="AI248"/>
  <c r="BW256"/>
  <c r="CD256"/>
  <c r="CF256"/>
  <c r="CH256"/>
  <c r="CM256"/>
  <c r="BP254"/>
  <c r="K254"/>
  <c r="K250" s="1"/>
  <c r="K248"/>
  <c r="AM254"/>
  <c r="AM250" s="1"/>
  <c r="AM248"/>
  <c r="AO254"/>
  <c r="AO250" s="1"/>
  <c r="AO248"/>
  <c r="AR254"/>
  <c r="AR248"/>
  <c r="AU254"/>
  <c r="AU250" s="1"/>
  <c r="AU248"/>
  <c r="AZ254"/>
  <c r="AZ248"/>
  <c r="BB254"/>
  <c r="BB248"/>
  <c r="BD254"/>
  <c r="BD248"/>
  <c r="BF254"/>
  <c r="BF248"/>
  <c r="BI254"/>
  <c r="BI250" s="1"/>
  <c r="BI248"/>
  <c r="BK254"/>
  <c r="BK250" s="1"/>
  <c r="BK248"/>
  <c r="BS254"/>
  <c r="BS250" s="1"/>
  <c r="BS248"/>
  <c r="CC254"/>
  <c r="CC250" s="1"/>
  <c r="CC248"/>
  <c r="O256"/>
  <c r="O250" s="1"/>
  <c r="O248"/>
  <c r="CQ14"/>
  <c r="CO14"/>
  <c r="CQ16"/>
  <c r="CO16"/>
  <c r="CQ19"/>
  <c r="CO19"/>
  <c r="AE22"/>
  <c r="AK22" s="1"/>
  <c r="CQ22" s="1"/>
  <c r="AE23"/>
  <c r="AK23" s="1"/>
  <c r="CP23" s="1"/>
  <c r="AE27"/>
  <c r="AK27" s="1"/>
  <c r="CQ27" s="1"/>
  <c r="CF27"/>
  <c r="CF254" s="1"/>
  <c r="AW27"/>
  <c r="CQ33"/>
  <c r="CO33"/>
  <c r="CP33"/>
  <c r="CQ36"/>
  <c r="CO36"/>
  <c r="AE42"/>
  <c r="AK42" s="1"/>
  <c r="CO42" s="1"/>
  <c r="AE47"/>
  <c r="CJ7"/>
  <c r="CD254"/>
  <c r="CJ8"/>
  <c r="CI9"/>
  <c r="CI253" s="1"/>
  <c r="CP16"/>
  <c r="CQ17"/>
  <c r="CP19"/>
  <c r="CQ20"/>
  <c r="CJ21"/>
  <c r="CJ22"/>
  <c r="CQ25"/>
  <c r="CQ28"/>
  <c r="CJ33"/>
  <c r="AY250"/>
  <c r="AI250"/>
  <c r="CP40"/>
  <c r="CN51"/>
  <c r="CL51"/>
  <c r="V51"/>
  <c r="U51" s="1"/>
  <c r="AE51"/>
  <c r="AK51" s="1"/>
  <c r="CJ35"/>
  <c r="CJ36"/>
  <c r="CJ37"/>
  <c r="CJ38"/>
  <c r="CJ39"/>
  <c r="CJ40"/>
  <c r="AK41"/>
  <c r="BQ45"/>
  <c r="CE257"/>
  <c r="CG257"/>
  <c r="CI45"/>
  <c r="BQ46"/>
  <c r="BQ47"/>
  <c r="CJ49"/>
  <c r="BP51"/>
  <c r="CJ51"/>
  <c r="CJ52"/>
  <c r="BM54"/>
  <c r="CN54"/>
  <c r="AX250"/>
  <c r="AZ250"/>
  <c r="BB250"/>
  <c r="BD250"/>
  <c r="BF250"/>
  <c r="BH250"/>
  <c r="BJ250"/>
  <c r="AS254"/>
  <c r="AS250" s="1"/>
  <c r="AS248"/>
  <c r="CN50"/>
  <c r="CL50"/>
  <c r="V50"/>
  <c r="U50" s="1"/>
  <c r="AE50"/>
  <c r="N258"/>
  <c r="T52"/>
  <c r="T258" s="1"/>
  <c r="R258"/>
  <c r="CN52"/>
  <c r="CL52"/>
  <c r="BM52"/>
  <c r="BM258" s="1"/>
  <c r="AH258"/>
  <c r="AF52"/>
  <c r="CN53"/>
  <c r="CL53"/>
  <c r="V53"/>
  <c r="U53" s="1"/>
  <c r="AE53"/>
  <c r="CO15"/>
  <c r="CO17"/>
  <c r="CO18"/>
  <c r="BM19"/>
  <c r="BM248" s="1"/>
  <c r="CO20"/>
  <c r="CO24"/>
  <c r="CO25"/>
  <c r="CO26"/>
  <c r="CO28"/>
  <c r="CO32"/>
  <c r="CO34"/>
  <c r="V35"/>
  <c r="U35" s="1"/>
  <c r="AE35"/>
  <c r="AK35" s="1"/>
  <c r="CP35" s="1"/>
  <c r="CL35"/>
  <c r="AE37"/>
  <c r="BN250"/>
  <c r="BZ250"/>
  <c r="CE37"/>
  <c r="CG37"/>
  <c r="CG252" s="1"/>
  <c r="DR250"/>
  <c r="AE38"/>
  <c r="AK38" s="1"/>
  <c r="CO38" s="1"/>
  <c r="AH250"/>
  <c r="AE39"/>
  <c r="AK39" s="1"/>
  <c r="CQ39" s="1"/>
  <c r="AW41"/>
  <c r="AW255" s="1"/>
  <c r="BW41"/>
  <c r="BW255" s="1"/>
  <c r="BW250" s="1"/>
  <c r="CD41"/>
  <c r="CD255" s="1"/>
  <c r="CH41"/>
  <c r="CJ41"/>
  <c r="CJ255" s="1"/>
  <c r="CO41"/>
  <c r="CO255" s="1"/>
  <c r="CQ41"/>
  <c r="CO43"/>
  <c r="CO44"/>
  <c r="N257"/>
  <c r="R257"/>
  <c r="T45"/>
  <c r="T257" s="1"/>
  <c r="T250" s="1"/>
  <c r="W45"/>
  <c r="W257" s="1"/>
  <c r="W250" s="1"/>
  <c r="AF45"/>
  <c r="BP45"/>
  <c r="CD257"/>
  <c r="CF257"/>
  <c r="CH257"/>
  <c r="CJ45"/>
  <c r="CM45"/>
  <c r="AK46"/>
  <c r="CO46" s="1"/>
  <c r="BP46"/>
  <c r="AK47"/>
  <c r="CQ47" s="1"/>
  <c r="BP47"/>
  <c r="AE48"/>
  <c r="BL258"/>
  <c r="BL250" s="1"/>
  <c r="CD48"/>
  <c r="CD258" s="1"/>
  <c r="CH48"/>
  <c r="CJ48"/>
  <c r="CJ258" s="1"/>
  <c r="V49"/>
  <c r="AE49"/>
  <c r="AK49" s="1"/>
  <c r="CP49" s="1"/>
  <c r="CL49"/>
  <c r="CL257" s="1"/>
  <c r="CQ49"/>
  <c r="AK50"/>
  <c r="CQ50" s="1"/>
  <c r="BP50"/>
  <c r="CI50"/>
  <c r="CJ50"/>
  <c r="CO50"/>
  <c r="CM51"/>
  <c r="CM52"/>
  <c r="CM258" s="1"/>
  <c r="AK53"/>
  <c r="CQ53" s="1"/>
  <c r="BP53"/>
  <c r="CI53"/>
  <c r="CJ53"/>
  <c r="CO53"/>
  <c r="V54"/>
  <c r="AE54"/>
  <c r="AK54" s="1"/>
  <c r="CL54"/>
  <c r="CL258" s="1"/>
  <c r="L248"/>
  <c r="BH248"/>
  <c r="J250"/>
  <c r="L250"/>
  <c r="N250"/>
  <c r="R250"/>
  <c r="AN250"/>
  <c r="AR250"/>
  <c r="AT250"/>
  <c r="AV250"/>
  <c r="BR250"/>
  <c r="BT250"/>
  <c r="CN258" i="1"/>
  <c r="CM258"/>
  <c r="CN257"/>
  <c r="CM257"/>
  <c r="CN256"/>
  <c r="CM256"/>
  <c r="CN255"/>
  <c r="CM255"/>
  <c r="CN254"/>
  <c r="CM254"/>
  <c r="CN253"/>
  <c r="CM253"/>
  <c r="CN252"/>
  <c r="CN250" s="1"/>
  <c r="CM252"/>
  <c r="CN248"/>
  <c r="CM248"/>
  <c r="V258" i="2" l="1"/>
  <c r="U258" s="1"/>
  <c r="U54"/>
  <c r="V257"/>
  <c r="U257" s="1"/>
  <c r="U49"/>
  <c r="CP42"/>
  <c r="AW256"/>
  <c r="CG256"/>
  <c r="BZ248"/>
  <c r="CF250"/>
  <c r="CD250"/>
  <c r="CL248"/>
  <c r="CM257"/>
  <c r="CQ42"/>
  <c r="AW248"/>
  <c r="CO23"/>
  <c r="BM256"/>
  <c r="CQ10"/>
  <c r="CE258"/>
  <c r="V248"/>
  <c r="U248" s="1"/>
  <c r="CO54"/>
  <c r="CP54"/>
  <c r="CQ54"/>
  <c r="CO51"/>
  <c r="CQ51"/>
  <c r="CP51"/>
  <c r="CM250"/>
  <c r="BM250"/>
  <c r="AK48"/>
  <c r="CH258"/>
  <c r="CG48"/>
  <c r="AF257"/>
  <c r="AE45"/>
  <c r="CH255"/>
  <c r="CH250" s="1"/>
  <c r="CG41"/>
  <c r="AE52"/>
  <c r="AK52" s="1"/>
  <c r="CQ52" s="1"/>
  <c r="CJ27"/>
  <c r="CE27"/>
  <c r="CI27" s="1"/>
  <c r="AE253"/>
  <c r="AK9"/>
  <c r="AE256"/>
  <c r="AE248"/>
  <c r="AK7"/>
  <c r="CJ257"/>
  <c r="BP257"/>
  <c r="BP250" s="1"/>
  <c r="CP53"/>
  <c r="CP50"/>
  <c r="AF258"/>
  <c r="BQ257"/>
  <c r="BQ250" s="1"/>
  <c r="CO39"/>
  <c r="CQ38"/>
  <c r="CJ252"/>
  <c r="CQ35"/>
  <c r="CP38"/>
  <c r="CP27"/>
  <c r="CO22"/>
  <c r="AW254"/>
  <c r="AW250" s="1"/>
  <c r="CO47"/>
  <c r="CO27"/>
  <c r="CQ23"/>
  <c r="CP22"/>
  <c r="CP39"/>
  <c r="CQ21"/>
  <c r="CP46"/>
  <c r="CQ46"/>
  <c r="CP21"/>
  <c r="CL256"/>
  <c r="CL250" s="1"/>
  <c r="V256"/>
  <c r="CI19"/>
  <c r="CI256" s="1"/>
  <c r="CE252"/>
  <c r="CI37"/>
  <c r="CI252" s="1"/>
  <c r="AE252"/>
  <c r="AK37"/>
  <c r="AK255"/>
  <c r="CP41"/>
  <c r="CP255" s="1"/>
  <c r="CJ256"/>
  <c r="CE10"/>
  <c r="CJ10"/>
  <c r="CJ248" s="1"/>
  <c r="AE254"/>
  <c r="AK8"/>
  <c r="CO49"/>
  <c r="CI257"/>
  <c r="CO35"/>
  <c r="CJ254"/>
  <c r="CP47"/>
  <c r="BP248"/>
  <c r="CM248"/>
  <c r="CH248"/>
  <c r="CF248"/>
  <c r="CD248"/>
  <c r="BW248"/>
  <c r="AF248"/>
  <c r="W248"/>
  <c r="T248"/>
  <c r="BQ248"/>
  <c r="CI8"/>
  <c r="CG248"/>
  <c r="CM250" i="1"/>
  <c r="V54"/>
  <c r="V250" i="2" l="1"/>
  <c r="U256"/>
  <c r="CP52"/>
  <c r="CO52"/>
  <c r="AK253"/>
  <c r="CQ9"/>
  <c r="CP9"/>
  <c r="CP253" s="1"/>
  <c r="CO9"/>
  <c r="CO253" s="1"/>
  <c r="CG255"/>
  <c r="CI41"/>
  <c r="CI255" s="1"/>
  <c r="AE257"/>
  <c r="AK45"/>
  <c r="AF250"/>
  <c r="AE258"/>
  <c r="AK254"/>
  <c r="CP8"/>
  <c r="CP254" s="1"/>
  <c r="CQ8"/>
  <c r="CO8"/>
  <c r="CO254" s="1"/>
  <c r="AK252"/>
  <c r="CQ37"/>
  <c r="CO37"/>
  <c r="CO252" s="1"/>
  <c r="CP37"/>
  <c r="CP252" s="1"/>
  <c r="CI10"/>
  <c r="CI254" s="1"/>
  <c r="CE254"/>
  <c r="CE248"/>
  <c r="AK256"/>
  <c r="AK248"/>
  <c r="CQ7"/>
  <c r="CP7"/>
  <c r="CO7"/>
  <c r="CG258"/>
  <c r="CI48"/>
  <c r="CI258" s="1"/>
  <c r="AK258"/>
  <c r="CP48"/>
  <c r="CP258" s="1"/>
  <c r="CQ48"/>
  <c r="CO48"/>
  <c r="CO258" s="1"/>
  <c r="AE250"/>
  <c r="CE250"/>
  <c r="CJ250"/>
  <c r="AG38" i="1"/>
  <c r="AF38"/>
  <c r="AG35"/>
  <c r="AF35"/>
  <c r="AG31"/>
  <c r="AF31"/>
  <c r="AG30"/>
  <c r="AF30"/>
  <c r="AG29"/>
  <c r="AF29"/>
  <c r="AG22"/>
  <c r="AF22"/>
  <c r="AF19"/>
  <c r="AG19"/>
  <c r="AF14"/>
  <c r="AG7"/>
  <c r="AF7"/>
  <c r="CI250" i="2" l="1"/>
  <c r="CG250"/>
  <c r="CO256"/>
  <c r="CP256"/>
  <c r="AK257"/>
  <c r="CQ45"/>
  <c r="CP45"/>
  <c r="CP257" s="1"/>
  <c r="CO45"/>
  <c r="CO257" s="1"/>
  <c r="CI248"/>
  <c r="AK250"/>
  <c r="AF52" i="1"/>
  <c r="R52"/>
  <c r="O52"/>
  <c r="N52"/>
  <c r="S51"/>
  <c r="AF51"/>
  <c r="R51"/>
  <c r="O51"/>
  <c r="N51"/>
  <c r="S50"/>
  <c r="AF50"/>
  <c r="R50"/>
  <c r="O50"/>
  <c r="N50"/>
  <c r="S46"/>
  <c r="AF46"/>
  <c r="R46"/>
  <c r="O46"/>
  <c r="N46"/>
  <c r="S47"/>
  <c r="AF47"/>
  <c r="R47"/>
  <c r="O47"/>
  <c r="N47"/>
  <c r="S45"/>
  <c r="AF45"/>
  <c r="R45"/>
  <c r="O45"/>
  <c r="N45"/>
  <c r="CO250" i="2" l="1"/>
  <c r="CP250"/>
  <c r="CP248"/>
  <c r="CO248"/>
  <c r="DQ258" i="1"/>
  <c r="DO258"/>
  <c r="DN258"/>
  <c r="DM258"/>
  <c r="DL258"/>
  <c r="DK258"/>
  <c r="DJ258"/>
  <c r="DI258"/>
  <c r="DH258"/>
  <c r="DG258"/>
  <c r="DF258"/>
  <c r="DE258"/>
  <c r="DD258"/>
  <c r="DC258"/>
  <c r="DB258"/>
  <c r="DA258"/>
  <c r="CZ258"/>
  <c r="CY258"/>
  <c r="CX258"/>
  <c r="CW258"/>
  <c r="CV258"/>
  <c r="CU258"/>
  <c r="CT258"/>
  <c r="CS258"/>
  <c r="CR258"/>
  <c r="CQ258"/>
  <c r="CP258"/>
  <c r="DQ257"/>
  <c r="DO257"/>
  <c r="DN257"/>
  <c r="DM257"/>
  <c r="DL257"/>
  <c r="DK257"/>
  <c r="DJ257"/>
  <c r="DI257"/>
  <c r="DH257"/>
  <c r="DG257"/>
  <c r="DF257"/>
  <c r="DE257"/>
  <c r="DD257"/>
  <c r="DC257"/>
  <c r="DB257"/>
  <c r="DA257"/>
  <c r="CZ257"/>
  <c r="CY257"/>
  <c r="CX257"/>
  <c r="CW257"/>
  <c r="CV257"/>
  <c r="CU257"/>
  <c r="CT257"/>
  <c r="CS257"/>
  <c r="CR257"/>
  <c r="CQ257"/>
  <c r="CP257"/>
  <c r="DQ256"/>
  <c r="DO256"/>
  <c r="DN256"/>
  <c r="DM256"/>
  <c r="DL256"/>
  <c r="DK256"/>
  <c r="DJ256"/>
  <c r="DI256"/>
  <c r="DH256"/>
  <c r="DG256"/>
  <c r="DF256"/>
  <c r="DE256"/>
  <c r="DD256"/>
  <c r="DC256"/>
  <c r="DB256"/>
  <c r="DA256"/>
  <c r="CZ256"/>
  <c r="CY256"/>
  <c r="CX256"/>
  <c r="CW256"/>
  <c r="CV256"/>
  <c r="CU256"/>
  <c r="CT256"/>
  <c r="CS256"/>
  <c r="CR256"/>
  <c r="CQ256"/>
  <c r="CP256"/>
  <c r="DQ255"/>
  <c r="DO255"/>
  <c r="DN255"/>
  <c r="DM255"/>
  <c r="DL255"/>
  <c r="DK255"/>
  <c r="DJ255"/>
  <c r="DI255"/>
  <c r="DH255"/>
  <c r="DG255"/>
  <c r="DF255"/>
  <c r="DE255"/>
  <c r="DD255"/>
  <c r="DC255"/>
  <c r="DB255"/>
  <c r="DA255"/>
  <c r="CZ255"/>
  <c r="CY255"/>
  <c r="CX255"/>
  <c r="CW255"/>
  <c r="CV255"/>
  <c r="CU255"/>
  <c r="CT255"/>
  <c r="CS255"/>
  <c r="CR255"/>
  <c r="CQ255"/>
  <c r="CP255"/>
  <c r="DQ254"/>
  <c r="DO254"/>
  <c r="DN254"/>
  <c r="DM254"/>
  <c r="DL254"/>
  <c r="DK254"/>
  <c r="DJ254"/>
  <c r="DI254"/>
  <c r="DH254"/>
  <c r="DG254"/>
  <c r="DF254"/>
  <c r="DE254"/>
  <c r="DD254"/>
  <c r="DC254"/>
  <c r="DB254"/>
  <c r="DA254"/>
  <c r="CZ254"/>
  <c r="CY254"/>
  <c r="CX254"/>
  <c r="CW254"/>
  <c r="CV254"/>
  <c r="CU254"/>
  <c r="CT254"/>
  <c r="CS254"/>
  <c r="CR254"/>
  <c r="CQ254"/>
  <c r="CP254"/>
  <c r="DQ253"/>
  <c r="DO253"/>
  <c r="DN253"/>
  <c r="DM253"/>
  <c r="DL253"/>
  <c r="DK253"/>
  <c r="DJ253"/>
  <c r="DI253"/>
  <c r="DH253"/>
  <c r="DG253"/>
  <c r="DF253"/>
  <c r="DE253"/>
  <c r="DD253"/>
  <c r="DC253"/>
  <c r="DB253"/>
  <c r="DA253"/>
  <c r="CZ253"/>
  <c r="CY253"/>
  <c r="CX253"/>
  <c r="CW253"/>
  <c r="CV253"/>
  <c r="CU253"/>
  <c r="CT253"/>
  <c r="CS253"/>
  <c r="CR253"/>
  <c r="CQ253"/>
  <c r="CP253"/>
  <c r="DQ252"/>
  <c r="DO252"/>
  <c r="DN252"/>
  <c r="DM252"/>
  <c r="DL252"/>
  <c r="DK252"/>
  <c r="DJ252"/>
  <c r="DI252"/>
  <c r="DH252"/>
  <c r="DG252"/>
  <c r="DF252"/>
  <c r="DE252"/>
  <c r="DD252"/>
  <c r="DC252"/>
  <c r="DB252"/>
  <c r="DA252"/>
  <c r="CZ252"/>
  <c r="CY252"/>
  <c r="CX252"/>
  <c r="CW252"/>
  <c r="CV252"/>
  <c r="CU252"/>
  <c r="CT252"/>
  <c r="CS252"/>
  <c r="CR252"/>
  <c r="CQ252"/>
  <c r="CP252"/>
  <c r="CI258"/>
  <c r="CA258"/>
  <c r="BZ258"/>
  <c r="BY258"/>
  <c r="BW258"/>
  <c r="BV258"/>
  <c r="BU258"/>
  <c r="BT258"/>
  <c r="BS258"/>
  <c r="BR258"/>
  <c r="BQ258"/>
  <c r="BP258"/>
  <c r="BO258"/>
  <c r="BN258"/>
  <c r="BM258"/>
  <c r="BI258"/>
  <c r="AX258"/>
  <c r="AV258"/>
  <c r="AQ258"/>
  <c r="AN258"/>
  <c r="AK258"/>
  <c r="AJ258"/>
  <c r="AH258"/>
  <c r="AE258"/>
  <c r="AB258"/>
  <c r="AA258"/>
  <c r="Z258"/>
  <c r="Y258"/>
  <c r="X258"/>
  <c r="W258"/>
  <c r="Q258"/>
  <c r="P258"/>
  <c r="M258"/>
  <c r="CI257"/>
  <c r="CA257"/>
  <c r="BZ257"/>
  <c r="BY257"/>
  <c r="BX257"/>
  <c r="BW257"/>
  <c r="BV257"/>
  <c r="BU257"/>
  <c r="BT257"/>
  <c r="BS257"/>
  <c r="BR257"/>
  <c r="BQ257"/>
  <c r="BP257"/>
  <c r="BL257"/>
  <c r="BK257"/>
  <c r="BJ257"/>
  <c r="BI257"/>
  <c r="BH257"/>
  <c r="BG257"/>
  <c r="BF257"/>
  <c r="BE257"/>
  <c r="BD257"/>
  <c r="BC257"/>
  <c r="BB257"/>
  <c r="BA257"/>
  <c r="AZ257"/>
  <c r="AY257"/>
  <c r="AX257"/>
  <c r="AW257"/>
  <c r="AV257"/>
  <c r="AU257"/>
  <c r="AT257"/>
  <c r="AS257"/>
  <c r="AR257"/>
  <c r="AQ257"/>
  <c r="AP257"/>
  <c r="AO257"/>
  <c r="AN257"/>
  <c r="AM257"/>
  <c r="AL257"/>
  <c r="AK257"/>
  <c r="AJ257"/>
  <c r="AH257"/>
  <c r="AG257"/>
  <c r="AE257"/>
  <c r="AB257"/>
  <c r="AA257"/>
  <c r="Z257"/>
  <c r="Y257"/>
  <c r="X257"/>
  <c r="W257"/>
  <c r="Q257"/>
  <c r="P257"/>
  <c r="M257"/>
  <c r="L257"/>
  <c r="K257"/>
  <c r="J257"/>
  <c r="CI256"/>
  <c r="CA256"/>
  <c r="BZ256"/>
  <c r="BY256"/>
  <c r="BW256"/>
  <c r="BV256"/>
  <c r="BT256"/>
  <c r="BS256"/>
  <c r="BR256"/>
  <c r="BQ256"/>
  <c r="BP256"/>
  <c r="BO256"/>
  <c r="BN256"/>
  <c r="BM256"/>
  <c r="BI256"/>
  <c r="BH256"/>
  <c r="BF256"/>
  <c r="BC256"/>
  <c r="BB256"/>
  <c r="BA256"/>
  <c r="AZ256"/>
  <c r="AY256"/>
  <c r="AX256"/>
  <c r="AV256"/>
  <c r="AT256"/>
  <c r="AS256"/>
  <c r="AR256"/>
  <c r="AQ256"/>
  <c r="AP256"/>
  <c r="AO256"/>
  <c r="AN256"/>
  <c r="AM256"/>
  <c r="AL256"/>
  <c r="AK256"/>
  <c r="AJ256"/>
  <c r="AH256"/>
  <c r="AE256"/>
  <c r="AB256"/>
  <c r="AA256"/>
  <c r="Z256"/>
  <c r="Y256"/>
  <c r="X256"/>
  <c r="W256"/>
  <c r="Q256"/>
  <c r="P256"/>
  <c r="M256"/>
  <c r="L256"/>
  <c r="K256"/>
  <c r="J256"/>
  <c r="CI255"/>
  <c r="CA255"/>
  <c r="BZ255"/>
  <c r="BY255"/>
  <c r="BW255"/>
  <c r="BV255"/>
  <c r="BT255"/>
  <c r="BS255"/>
  <c r="BR255"/>
  <c r="BQ255"/>
  <c r="BP255"/>
  <c r="BO255"/>
  <c r="BN255"/>
  <c r="BM255"/>
  <c r="BF255"/>
  <c r="BB255"/>
  <c r="AX255"/>
  <c r="AV255"/>
  <c r="AQ255"/>
  <c r="AN255"/>
  <c r="AJ255"/>
  <c r="AH255"/>
  <c r="AG255"/>
  <c r="AF255"/>
  <c r="AE255"/>
  <c r="AB255"/>
  <c r="AA255"/>
  <c r="Z255"/>
  <c r="Y255"/>
  <c r="X255"/>
  <c r="W255"/>
  <c r="S255"/>
  <c r="R255"/>
  <c r="Q255"/>
  <c r="P255"/>
  <c r="O255"/>
  <c r="N255"/>
  <c r="L255"/>
  <c r="CI254"/>
  <c r="BZ254"/>
  <c r="BY254"/>
  <c r="BX254"/>
  <c r="BW254"/>
  <c r="BV254"/>
  <c r="BU254"/>
  <c r="BT254"/>
  <c r="BS254"/>
  <c r="BL254"/>
  <c r="BK254"/>
  <c r="BJ254"/>
  <c r="BF254"/>
  <c r="AN254"/>
  <c r="AJ254"/>
  <c r="AH254"/>
  <c r="AG254"/>
  <c r="AF254"/>
  <c r="AE254"/>
  <c r="AB254"/>
  <c r="AA254"/>
  <c r="Z254"/>
  <c r="Y254"/>
  <c r="X254"/>
  <c r="W254"/>
  <c r="S254"/>
  <c r="R254"/>
  <c r="Q254"/>
  <c r="P254"/>
  <c r="O254"/>
  <c r="N254"/>
  <c r="L254"/>
  <c r="CI253"/>
  <c r="CA253"/>
  <c r="BZ253"/>
  <c r="BY253"/>
  <c r="BX253"/>
  <c r="BW253"/>
  <c r="BV253"/>
  <c r="BT253"/>
  <c r="BS253"/>
  <c r="BR253"/>
  <c r="BQ253"/>
  <c r="BP253"/>
  <c r="BL253"/>
  <c r="BK253"/>
  <c r="BJ253"/>
  <c r="BI253"/>
  <c r="BH253"/>
  <c r="BG253"/>
  <c r="BF253"/>
  <c r="BE253"/>
  <c r="BD253"/>
  <c r="BC253"/>
  <c r="BB253"/>
  <c r="BA253"/>
  <c r="AZ253"/>
  <c r="AY253"/>
  <c r="AX253"/>
  <c r="AW253"/>
  <c r="AV253"/>
  <c r="AT253"/>
  <c r="AS253"/>
  <c r="AR253"/>
  <c r="AQ253"/>
  <c r="AP253"/>
  <c r="AO253"/>
  <c r="AN253"/>
  <c r="AM253"/>
  <c r="AL253"/>
  <c r="AK253"/>
  <c r="AJ253"/>
  <c r="AH253"/>
  <c r="AG253"/>
  <c r="AF253"/>
  <c r="AE253"/>
  <c r="AB253"/>
  <c r="AA253"/>
  <c r="Z253"/>
  <c r="Y253"/>
  <c r="X253"/>
  <c r="W253"/>
  <c r="S253"/>
  <c r="R253"/>
  <c r="Q253"/>
  <c r="P253"/>
  <c r="O253"/>
  <c r="N253"/>
  <c r="M253"/>
  <c r="L253"/>
  <c r="K253"/>
  <c r="J253"/>
  <c r="CI252"/>
  <c r="CA252"/>
  <c r="BZ252"/>
  <c r="BY252"/>
  <c r="BW252"/>
  <c r="BV252"/>
  <c r="BT252"/>
  <c r="BS252"/>
  <c r="BR252"/>
  <c r="BQ252"/>
  <c r="BP252"/>
  <c r="BO252"/>
  <c r="BN252"/>
  <c r="BM252"/>
  <c r="BI252"/>
  <c r="BH252"/>
  <c r="BG252"/>
  <c r="BF252"/>
  <c r="BE252"/>
  <c r="BD252"/>
  <c r="BC252"/>
  <c r="BB252"/>
  <c r="BA252"/>
  <c r="AZ252"/>
  <c r="AY252"/>
  <c r="AX252"/>
  <c r="AW252"/>
  <c r="AV252"/>
  <c r="AT252"/>
  <c r="AS252"/>
  <c r="AR252"/>
  <c r="AQ252"/>
  <c r="AP252"/>
  <c r="AO252"/>
  <c r="AN252"/>
  <c r="AM252"/>
  <c r="AL252"/>
  <c r="AK252"/>
  <c r="AJ252"/>
  <c r="AH252"/>
  <c r="AG252"/>
  <c r="AF252"/>
  <c r="AE252"/>
  <c r="AB252"/>
  <c r="AA252"/>
  <c r="Z252"/>
  <c r="Y252"/>
  <c r="X252"/>
  <c r="W252"/>
  <c r="S252"/>
  <c r="R252"/>
  <c r="Q252"/>
  <c r="P252"/>
  <c r="O252"/>
  <c r="N252"/>
  <c r="M252"/>
  <c r="L252"/>
  <c r="K252"/>
  <c r="J252"/>
  <c r="G257"/>
  <c r="BT250" l="1"/>
  <c r="CQ250"/>
  <c r="CU250"/>
  <c r="CY250"/>
  <c r="DC250"/>
  <c r="DG250"/>
  <c r="DK250"/>
  <c r="DO250"/>
  <c r="CP250"/>
  <c r="CT250"/>
  <c r="DF250"/>
  <c r="DJ250"/>
  <c r="P250"/>
  <c r="Q250"/>
  <c r="AB250"/>
  <c r="Y250"/>
  <c r="AJ250"/>
  <c r="AN250"/>
  <c r="CX250"/>
  <c r="DN250"/>
  <c r="DB250"/>
  <c r="W250"/>
  <c r="AA250"/>
  <c r="BW250"/>
  <c r="CI250"/>
  <c r="X250"/>
  <c r="CR250"/>
  <c r="CV250"/>
  <c r="CZ250"/>
  <c r="DD250"/>
  <c r="DH250"/>
  <c r="DL250"/>
  <c r="DQ250"/>
  <c r="CS250"/>
  <c r="CW250"/>
  <c r="DA250"/>
  <c r="DE250"/>
  <c r="DI250"/>
  <c r="DM250"/>
  <c r="BY250"/>
  <c r="AH250"/>
  <c r="BS250"/>
  <c r="AE250"/>
  <c r="BZ250"/>
  <c r="Z250"/>
  <c r="BV250"/>
  <c r="DQ248"/>
  <c r="DO248"/>
  <c r="DN248"/>
  <c r="DM248"/>
  <c r="DL248"/>
  <c r="DK248"/>
  <c r="DJ248"/>
  <c r="DI248"/>
  <c r="DH248"/>
  <c r="DG248"/>
  <c r="DF248"/>
  <c r="DE248"/>
  <c r="DD248"/>
  <c r="DC248"/>
  <c r="DB248"/>
  <c r="DA248"/>
  <c r="CZ248"/>
  <c r="CY248"/>
  <c r="CX248"/>
  <c r="CW248"/>
  <c r="CV248"/>
  <c r="CU248"/>
  <c r="CT248"/>
  <c r="CS248"/>
  <c r="CR248"/>
  <c r="CQ248"/>
  <c r="CP248"/>
  <c r="AH248"/>
  <c r="AJ248"/>
  <c r="AN248"/>
  <c r="DP54"/>
  <c r="DP53"/>
  <c r="DP52"/>
  <c r="DP51"/>
  <c r="DP50"/>
  <c r="DP49"/>
  <c r="DP48"/>
  <c r="DP47"/>
  <c r="DP46"/>
  <c r="DP45"/>
  <c r="DP44"/>
  <c r="DP43"/>
  <c r="DP42"/>
  <c r="DP41"/>
  <c r="DP255" s="1"/>
  <c r="DP40"/>
  <c r="DP39"/>
  <c r="DP38"/>
  <c r="DP37"/>
  <c r="DP36"/>
  <c r="DP35"/>
  <c r="DP34"/>
  <c r="DP33"/>
  <c r="DP32"/>
  <c r="DP31"/>
  <c r="DP30"/>
  <c r="DP29"/>
  <c r="DP28"/>
  <c r="DP27"/>
  <c r="DP26"/>
  <c r="DP25"/>
  <c r="DP24"/>
  <c r="DP23"/>
  <c r="DP22"/>
  <c r="DP21"/>
  <c r="DP20"/>
  <c r="DP19"/>
  <c r="DP18"/>
  <c r="DP17"/>
  <c r="DP16"/>
  <c r="DP15"/>
  <c r="DP14"/>
  <c r="DP13"/>
  <c r="DP12"/>
  <c r="DP11"/>
  <c r="DP10"/>
  <c r="DP9"/>
  <c r="DP253" s="1"/>
  <c r="DP8"/>
  <c r="DP7"/>
  <c r="DP252" l="1"/>
  <c r="DP257"/>
  <c r="DP256"/>
  <c r="DP254"/>
  <c r="DP258"/>
  <c r="DP248"/>
  <c r="AF54"/>
  <c r="AF258" s="1"/>
  <c r="S258"/>
  <c r="R54"/>
  <c r="R258" s="1"/>
  <c r="O54"/>
  <c r="O258" s="1"/>
  <c r="N54"/>
  <c r="N258" s="1"/>
  <c r="AF53"/>
  <c r="S53"/>
  <c r="R53"/>
  <c r="O53"/>
  <c r="N53"/>
  <c r="S19"/>
  <c r="S256" s="1"/>
  <c r="R19"/>
  <c r="O19"/>
  <c r="N19"/>
  <c r="S257" l="1"/>
  <c r="S250" s="1"/>
  <c r="DP250"/>
  <c r="U54"/>
  <c r="T54"/>
  <c r="V53"/>
  <c r="U53"/>
  <c r="T53"/>
  <c r="V52"/>
  <c r="U52"/>
  <c r="T52"/>
  <c r="V51"/>
  <c r="U51"/>
  <c r="T51"/>
  <c r="V50"/>
  <c r="U50"/>
  <c r="T50"/>
  <c r="V49"/>
  <c r="V48"/>
  <c r="U48"/>
  <c r="T48"/>
  <c r="V47"/>
  <c r="U47"/>
  <c r="T47"/>
  <c r="V46"/>
  <c r="U46"/>
  <c r="T46"/>
  <c r="V45"/>
  <c r="U45"/>
  <c r="T45"/>
  <c r="V44"/>
  <c r="U44"/>
  <c r="T44"/>
  <c r="V43"/>
  <c r="U43"/>
  <c r="T43"/>
  <c r="V42"/>
  <c r="U42"/>
  <c r="T42"/>
  <c r="V41"/>
  <c r="V255" s="1"/>
  <c r="U41"/>
  <c r="U255" s="1"/>
  <c r="T41"/>
  <c r="T255" s="1"/>
  <c r="V40"/>
  <c r="U40"/>
  <c r="T40"/>
  <c r="V39"/>
  <c r="U39"/>
  <c r="T39"/>
  <c r="V38"/>
  <c r="U38"/>
  <c r="T38"/>
  <c r="V37"/>
  <c r="U37"/>
  <c r="T37"/>
  <c r="V36"/>
  <c r="U36"/>
  <c r="T36"/>
  <c r="V35"/>
  <c r="V34"/>
  <c r="U34"/>
  <c r="T34"/>
  <c r="V33"/>
  <c r="U33"/>
  <c r="T33"/>
  <c r="V32"/>
  <c r="U32"/>
  <c r="T32"/>
  <c r="V31"/>
  <c r="U31"/>
  <c r="T31"/>
  <c r="V30"/>
  <c r="U30"/>
  <c r="T30"/>
  <c r="V29"/>
  <c r="U29"/>
  <c r="T29"/>
  <c r="V28"/>
  <c r="U28"/>
  <c r="T28"/>
  <c r="V27"/>
  <c r="U27"/>
  <c r="T27"/>
  <c r="V26"/>
  <c r="U26"/>
  <c r="T26"/>
  <c r="V25"/>
  <c r="U25"/>
  <c r="T25"/>
  <c r="V24"/>
  <c r="U24"/>
  <c r="T24"/>
  <c r="V23"/>
  <c r="U23"/>
  <c r="T23"/>
  <c r="V22"/>
  <c r="U22"/>
  <c r="T22"/>
  <c r="V21"/>
  <c r="U21"/>
  <c r="T21"/>
  <c r="V20"/>
  <c r="U20"/>
  <c r="T20"/>
  <c r="V19"/>
  <c r="U19"/>
  <c r="T19"/>
  <c r="V18"/>
  <c r="U18"/>
  <c r="T18"/>
  <c r="V17"/>
  <c r="U17"/>
  <c r="T17"/>
  <c r="V16"/>
  <c r="U16"/>
  <c r="T16"/>
  <c r="V15"/>
  <c r="U15"/>
  <c r="T15"/>
  <c r="V14"/>
  <c r="V13"/>
  <c r="U13"/>
  <c r="T13"/>
  <c r="V12"/>
  <c r="U12"/>
  <c r="T12"/>
  <c r="V11"/>
  <c r="U11"/>
  <c r="T11"/>
  <c r="V10"/>
  <c r="U10"/>
  <c r="T10"/>
  <c r="V9"/>
  <c r="V253" s="1"/>
  <c r="U9"/>
  <c r="U253" s="1"/>
  <c r="T9"/>
  <c r="T253" s="1"/>
  <c r="V8"/>
  <c r="U8"/>
  <c r="T8"/>
  <c r="V7"/>
  <c r="U7"/>
  <c r="T7"/>
  <c r="T252" l="1"/>
  <c r="T258"/>
  <c r="V256"/>
  <c r="T254"/>
  <c r="U254"/>
  <c r="V252"/>
  <c r="V257"/>
  <c r="U258"/>
  <c r="U252"/>
  <c r="V254"/>
  <c r="V258"/>
  <c r="AG54"/>
  <c r="AG258" s="1"/>
  <c r="V250" l="1"/>
  <c r="AB248"/>
  <c r="AF42" l="1"/>
  <c r="AG42"/>
  <c r="AG33"/>
  <c r="AF33"/>
  <c r="AG16"/>
  <c r="AF16"/>
  <c r="AG256" l="1"/>
  <c r="AG250" s="1"/>
  <c r="AF49"/>
  <c r="AF257" s="1"/>
  <c r="R49"/>
  <c r="R257" s="1"/>
  <c r="O49"/>
  <c r="O257" s="1"/>
  <c r="N49"/>
  <c r="N257" s="1"/>
  <c r="U49" l="1"/>
  <c r="U257" s="1"/>
  <c r="T49"/>
  <c r="T257" s="1"/>
  <c r="Z248" l="1"/>
  <c r="AA248"/>
  <c r="CJ253" l="1"/>
  <c r="CK253"/>
  <c r="CJ255"/>
  <c r="CK255"/>
  <c r="CJ252"/>
  <c r="CK252" l="1"/>
  <c r="CJ258"/>
  <c r="CJ257"/>
  <c r="CK258"/>
  <c r="CJ254"/>
  <c r="CK257"/>
  <c r="CK254"/>
  <c r="R35"/>
  <c r="U35" s="1"/>
  <c r="O35"/>
  <c r="N35"/>
  <c r="T35" s="1"/>
  <c r="O14" l="1"/>
  <c r="O256" s="1"/>
  <c r="O250" s="1"/>
  <c r="N14"/>
  <c r="N256" s="1"/>
  <c r="N250" s="1"/>
  <c r="R14"/>
  <c r="R256" s="1"/>
  <c r="R250" s="1"/>
  <c r="R264" s="1"/>
  <c r="AF256"/>
  <c r="AF250" s="1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3"/>
  <c r="AD12"/>
  <c r="AD11"/>
  <c r="AD10"/>
  <c r="AD9"/>
  <c r="AD8"/>
  <c r="AD7"/>
  <c r="AD253" l="1"/>
  <c r="AC13"/>
  <c r="AC18"/>
  <c r="AC22"/>
  <c r="AC26"/>
  <c r="AC30"/>
  <c r="AC34"/>
  <c r="AC38"/>
  <c r="AC42"/>
  <c r="AC46"/>
  <c r="AC50"/>
  <c r="AC54"/>
  <c r="AC10"/>
  <c r="AC15"/>
  <c r="AC19"/>
  <c r="AC23"/>
  <c r="AC27"/>
  <c r="AC31"/>
  <c r="AC35"/>
  <c r="AC39"/>
  <c r="AC43"/>
  <c r="AC51"/>
  <c r="AC11"/>
  <c r="AI11" s="1"/>
  <c r="AC16"/>
  <c r="AC20"/>
  <c r="AC24"/>
  <c r="AC28"/>
  <c r="AC32"/>
  <c r="AC36"/>
  <c r="AC40"/>
  <c r="AC44"/>
  <c r="AC52"/>
  <c r="AC12"/>
  <c r="AI12" s="1"/>
  <c r="AC17"/>
  <c r="AC21"/>
  <c r="AC25"/>
  <c r="AC29"/>
  <c r="AC33"/>
  <c r="AD255"/>
  <c r="AC49"/>
  <c r="AC53"/>
  <c r="AD258"/>
  <c r="AD252"/>
  <c r="AD257"/>
  <c r="AD254"/>
  <c r="U14"/>
  <c r="U256" s="1"/>
  <c r="U250" s="1"/>
  <c r="T14"/>
  <c r="T256" s="1"/>
  <c r="T250" s="1"/>
  <c r="AD14"/>
  <c r="AC9"/>
  <c r="AC253" s="1"/>
  <c r="AC47"/>
  <c r="AC7"/>
  <c r="AC48"/>
  <c r="AC8"/>
  <c r="AC37"/>
  <c r="AC41"/>
  <c r="AC255" s="1"/>
  <c r="AC45"/>
  <c r="CJ256"/>
  <c r="CJ250" s="1"/>
  <c r="CK256"/>
  <c r="CK250" s="1"/>
  <c r="AC252" l="1"/>
  <c r="AC254"/>
  <c r="AC258"/>
  <c r="AC14"/>
  <c r="AC256" s="1"/>
  <c r="AC257"/>
  <c r="AD256"/>
  <c r="AD250" s="1"/>
  <c r="CK248"/>
  <c r="CJ248"/>
  <c r="BH48"/>
  <c r="BH258" s="1"/>
  <c r="BG48"/>
  <c r="BG258" s="1"/>
  <c r="BF48"/>
  <c r="BF258" s="1"/>
  <c r="BF250" s="1"/>
  <c r="BE48"/>
  <c r="BE258" s="1"/>
  <c r="BD48"/>
  <c r="BD258" s="1"/>
  <c r="BC48"/>
  <c r="BC258" s="1"/>
  <c r="BB48"/>
  <c r="BB258" s="1"/>
  <c r="BA48"/>
  <c r="BA258" s="1"/>
  <c r="AZ48"/>
  <c r="AZ258" s="1"/>
  <c r="AY48"/>
  <c r="AY258" s="1"/>
  <c r="AW48"/>
  <c r="AW258" s="1"/>
  <c r="AU48"/>
  <c r="AU258" s="1"/>
  <c r="AT48"/>
  <c r="AT258" s="1"/>
  <c r="AS48"/>
  <c r="AS258" s="1"/>
  <c r="AR48"/>
  <c r="AR258" s="1"/>
  <c r="AP48"/>
  <c r="AP258" s="1"/>
  <c r="AL48"/>
  <c r="AL258" s="1"/>
  <c r="L48"/>
  <c r="L258" s="1"/>
  <c r="L250" s="1"/>
  <c r="J48"/>
  <c r="J258" s="1"/>
  <c r="AC250" l="1"/>
  <c r="AC264" s="1"/>
  <c r="BF248"/>
  <c r="BU44"/>
  <c r="BU43"/>
  <c r="BU42"/>
  <c r="BU38"/>
  <c r="BU37"/>
  <c r="BU35"/>
  <c r="BU34"/>
  <c r="BU33"/>
  <c r="BU32"/>
  <c r="BU31"/>
  <c r="BU30"/>
  <c r="BU29"/>
  <c r="BU25"/>
  <c r="BU24"/>
  <c r="BU22"/>
  <c r="BU19"/>
  <c r="BU18"/>
  <c r="BU16"/>
  <c r="BU14"/>
  <c r="BU11"/>
  <c r="BU9"/>
  <c r="BU253" s="1"/>
  <c r="BU7"/>
  <c r="BU256" l="1"/>
  <c r="BU252"/>
  <c r="CA10"/>
  <c r="CB8"/>
  <c r="CB9"/>
  <c r="CB253" s="1"/>
  <c r="CB11"/>
  <c r="CB12"/>
  <c r="CB13"/>
  <c r="CB14"/>
  <c r="CB15"/>
  <c r="CB16"/>
  <c r="CB17"/>
  <c r="CB18"/>
  <c r="CB19"/>
  <c r="CB20"/>
  <c r="CB22"/>
  <c r="CB23"/>
  <c r="CB24"/>
  <c r="CB25"/>
  <c r="CB26"/>
  <c r="CB28"/>
  <c r="CB29"/>
  <c r="CB30"/>
  <c r="CB31"/>
  <c r="CB32"/>
  <c r="CB33"/>
  <c r="CB34"/>
  <c r="CB35"/>
  <c r="CB37"/>
  <c r="CB38"/>
  <c r="CB39"/>
  <c r="CB42"/>
  <c r="CB43"/>
  <c r="CB44"/>
  <c r="CB45"/>
  <c r="CB46"/>
  <c r="CB47"/>
  <c r="CB49"/>
  <c r="CB50"/>
  <c r="CB51"/>
  <c r="CB52"/>
  <c r="CB53"/>
  <c r="CB54"/>
  <c r="CB7"/>
  <c r="CB256" l="1"/>
  <c r="CB252"/>
  <c r="CB257"/>
  <c r="CA21"/>
  <c r="CA248" s="1"/>
  <c r="CA254" l="1"/>
  <c r="CA250" s="1"/>
  <c r="CD46"/>
  <c r="CC46" s="1"/>
  <c r="CF46"/>
  <c r="CE46" s="1"/>
  <c r="CD47"/>
  <c r="CF47"/>
  <c r="CD48"/>
  <c r="CD49"/>
  <c r="CC49" s="1"/>
  <c r="CF49"/>
  <c r="CE49" s="1"/>
  <c r="CD50"/>
  <c r="CC50" s="1"/>
  <c r="CF50"/>
  <c r="CE50" s="1"/>
  <c r="CD51"/>
  <c r="CC51" s="1"/>
  <c r="CF51"/>
  <c r="CE51" s="1"/>
  <c r="CD52"/>
  <c r="CC52" s="1"/>
  <c r="CF52"/>
  <c r="CE52" s="1"/>
  <c r="CD53"/>
  <c r="CC53" s="1"/>
  <c r="CF53"/>
  <c r="CE53" s="1"/>
  <c r="CD54"/>
  <c r="CC54" s="1"/>
  <c r="CF54"/>
  <c r="CE54" s="1"/>
  <c r="CD8"/>
  <c r="CF8"/>
  <c r="CD9"/>
  <c r="CD253" s="1"/>
  <c r="CF9"/>
  <c r="CF253" s="1"/>
  <c r="CF10"/>
  <c r="CE10" s="1"/>
  <c r="CD11"/>
  <c r="CC11" s="1"/>
  <c r="CF11"/>
  <c r="CE11" s="1"/>
  <c r="CD12"/>
  <c r="CC12" s="1"/>
  <c r="CF12"/>
  <c r="CE12" s="1"/>
  <c r="CD13"/>
  <c r="CC13" s="1"/>
  <c r="CF13"/>
  <c r="CE13" s="1"/>
  <c r="CD14"/>
  <c r="CC14" s="1"/>
  <c r="CF14"/>
  <c r="CE14" s="1"/>
  <c r="CD15"/>
  <c r="CC15" s="1"/>
  <c r="CF15"/>
  <c r="CE15" s="1"/>
  <c r="CD16"/>
  <c r="CC16" s="1"/>
  <c r="CF16"/>
  <c r="CE16" s="1"/>
  <c r="CD17"/>
  <c r="CC17" s="1"/>
  <c r="CF17"/>
  <c r="CE17" s="1"/>
  <c r="CD18"/>
  <c r="CC18" s="1"/>
  <c r="CF18"/>
  <c r="CE18" s="1"/>
  <c r="CD19"/>
  <c r="CC19" s="1"/>
  <c r="CD20"/>
  <c r="CC20" s="1"/>
  <c r="CF20"/>
  <c r="CE20" s="1"/>
  <c r="CF21"/>
  <c r="CE21" s="1"/>
  <c r="CD22"/>
  <c r="CC22" s="1"/>
  <c r="CF22"/>
  <c r="CE22" s="1"/>
  <c r="CD23"/>
  <c r="CF23"/>
  <c r="CE23" s="1"/>
  <c r="CD24"/>
  <c r="CC24" s="1"/>
  <c r="CF24"/>
  <c r="CE24" s="1"/>
  <c r="CD25"/>
  <c r="CC25" s="1"/>
  <c r="CF25"/>
  <c r="CE25" s="1"/>
  <c r="CD26"/>
  <c r="CC26" s="1"/>
  <c r="CF26"/>
  <c r="CE26" s="1"/>
  <c r="CF27"/>
  <c r="CE27" s="1"/>
  <c r="CD28"/>
  <c r="CC28" s="1"/>
  <c r="CF28"/>
  <c r="CE28" s="1"/>
  <c r="CD29"/>
  <c r="CC29" s="1"/>
  <c r="CF29"/>
  <c r="CE29" s="1"/>
  <c r="CD30"/>
  <c r="CC30" s="1"/>
  <c r="CF30"/>
  <c r="CE30" s="1"/>
  <c r="CD31"/>
  <c r="CC31" s="1"/>
  <c r="CF31"/>
  <c r="CE31" s="1"/>
  <c r="CD32"/>
  <c r="CC32" s="1"/>
  <c r="CF32"/>
  <c r="CE32" s="1"/>
  <c r="CD33"/>
  <c r="CC33" s="1"/>
  <c r="CD34"/>
  <c r="CC34" s="1"/>
  <c r="CF34"/>
  <c r="CE34" s="1"/>
  <c r="CD35"/>
  <c r="CC35" s="1"/>
  <c r="CF35"/>
  <c r="CE35" s="1"/>
  <c r="CD36"/>
  <c r="CC36" s="1"/>
  <c r="CD37"/>
  <c r="CF37"/>
  <c r="CD38"/>
  <c r="CC38" s="1"/>
  <c r="CF38"/>
  <c r="CE38" s="1"/>
  <c r="CD39"/>
  <c r="CC39" s="1"/>
  <c r="CF39"/>
  <c r="CE39" s="1"/>
  <c r="CD40"/>
  <c r="CC40" s="1"/>
  <c r="CD41"/>
  <c r="CD255" s="1"/>
  <c r="CD42"/>
  <c r="CC42" s="1"/>
  <c r="CF42"/>
  <c r="CE42" s="1"/>
  <c r="CD43"/>
  <c r="CC43" s="1"/>
  <c r="CF43"/>
  <c r="CE43" s="1"/>
  <c r="CD44"/>
  <c r="CC44" s="1"/>
  <c r="CF44"/>
  <c r="CE44" s="1"/>
  <c r="CD45"/>
  <c r="CF45"/>
  <c r="CF7"/>
  <c r="CD7"/>
  <c r="BY248"/>
  <c r="BZ248"/>
  <c r="CD256" l="1"/>
  <c r="CF257"/>
  <c r="CD258"/>
  <c r="CD257"/>
  <c r="CF252"/>
  <c r="CD252"/>
  <c r="CC45"/>
  <c r="CC9"/>
  <c r="CC253" s="1"/>
  <c r="CE47"/>
  <c r="CE37"/>
  <c r="CE252" s="1"/>
  <c r="CE8"/>
  <c r="CC47"/>
  <c r="CC37"/>
  <c r="CC252" s="1"/>
  <c r="CC8"/>
  <c r="CE45"/>
  <c r="CC41"/>
  <c r="CC255" s="1"/>
  <c r="CE9"/>
  <c r="CE253" s="1"/>
  <c r="CC48"/>
  <c r="CC258" s="1"/>
  <c r="CH45"/>
  <c r="CH52"/>
  <c r="CH30"/>
  <c r="CH24"/>
  <c r="CH12"/>
  <c r="CH16"/>
  <c r="CH42"/>
  <c r="CH9"/>
  <c r="CH253" s="1"/>
  <c r="CH38"/>
  <c r="CH53"/>
  <c r="CH49"/>
  <c r="CH44"/>
  <c r="CH34"/>
  <c r="CH32"/>
  <c r="CH28"/>
  <c r="CH26"/>
  <c r="CH22"/>
  <c r="CH20"/>
  <c r="CH18"/>
  <c r="CH14"/>
  <c r="CH8"/>
  <c r="CH51"/>
  <c r="CH47"/>
  <c r="CH46"/>
  <c r="CH43"/>
  <c r="CH39"/>
  <c r="CH31"/>
  <c r="CH25"/>
  <c r="CH17"/>
  <c r="CH13"/>
  <c r="CH54"/>
  <c r="CH50"/>
  <c r="CH37"/>
  <c r="CH252" s="1"/>
  <c r="CH35"/>
  <c r="CH29"/>
  <c r="CH23"/>
  <c r="CH15"/>
  <c r="CH11"/>
  <c r="CH7"/>
  <c r="CC7"/>
  <c r="CC256" s="1"/>
  <c r="CE7"/>
  <c r="CG54"/>
  <c r="CG53"/>
  <c r="CG52"/>
  <c r="CG51"/>
  <c r="CG50"/>
  <c r="CG49"/>
  <c r="CG46"/>
  <c r="CG44"/>
  <c r="CG43"/>
  <c r="CG42"/>
  <c r="CG39"/>
  <c r="CG38"/>
  <c r="CG35"/>
  <c r="CG34"/>
  <c r="CG32"/>
  <c r="CG31"/>
  <c r="CG30"/>
  <c r="CG29"/>
  <c r="CG28"/>
  <c r="CG26"/>
  <c r="CG25"/>
  <c r="CG24"/>
  <c r="CG23"/>
  <c r="CG22"/>
  <c r="CG20"/>
  <c r="CG18"/>
  <c r="CG17"/>
  <c r="CG16"/>
  <c r="CG15"/>
  <c r="CG14"/>
  <c r="CG13"/>
  <c r="CG12"/>
  <c r="CG11"/>
  <c r="CE257" l="1"/>
  <c r="CH257"/>
  <c r="CC257"/>
  <c r="CG8"/>
  <c r="CG9"/>
  <c r="CG253" s="1"/>
  <c r="CG45"/>
  <c r="CG37"/>
  <c r="CG252" s="1"/>
  <c r="CG47"/>
  <c r="CG7"/>
  <c r="G255"/>
  <c r="G254"/>
  <c r="G258"/>
  <c r="BX54"/>
  <c r="BJ54"/>
  <c r="BO53"/>
  <c r="BN53"/>
  <c r="BM53"/>
  <c r="AI53"/>
  <c r="BX52"/>
  <c r="BL52"/>
  <c r="BK52"/>
  <c r="BJ52"/>
  <c r="AI52"/>
  <c r="BO51"/>
  <c r="BN51"/>
  <c r="BM51"/>
  <c r="AI51"/>
  <c r="BO50"/>
  <c r="BN50"/>
  <c r="BM50"/>
  <c r="AI50"/>
  <c r="BO49"/>
  <c r="BN49"/>
  <c r="BM49"/>
  <c r="AI49"/>
  <c r="BJ48"/>
  <c r="AO48"/>
  <c r="AO258" s="1"/>
  <c r="AM48"/>
  <c r="AM258" s="1"/>
  <c r="BL48"/>
  <c r="K48"/>
  <c r="K258" s="1"/>
  <c r="BO47"/>
  <c r="BN47"/>
  <c r="BM47"/>
  <c r="AI47"/>
  <c r="BJ258" l="1"/>
  <c r="CG257"/>
  <c r="CB48"/>
  <c r="CB258" s="1"/>
  <c r="CF48"/>
  <c r="CF258" s="1"/>
  <c r="BX48"/>
  <c r="BX258" s="1"/>
  <c r="AI48"/>
  <c r="BK48"/>
  <c r="AI54"/>
  <c r="BK54"/>
  <c r="BI21"/>
  <c r="BH21"/>
  <c r="BG21"/>
  <c r="BE21"/>
  <c r="BD21"/>
  <c r="BC21"/>
  <c r="BB21"/>
  <c r="BA21"/>
  <c r="AZ21"/>
  <c r="AY21"/>
  <c r="AX21"/>
  <c r="AV21"/>
  <c r="CD21" s="1"/>
  <c r="AT21"/>
  <c r="AS21"/>
  <c r="AR21"/>
  <c r="AQ21"/>
  <c r="AQ254" s="1"/>
  <c r="AQ250" s="1"/>
  <c r="AP21"/>
  <c r="AO21"/>
  <c r="AM21"/>
  <c r="AL21"/>
  <c r="AK21"/>
  <c r="M21"/>
  <c r="K21"/>
  <c r="CB21" s="1"/>
  <c r="J21"/>
  <c r="BI41"/>
  <c r="BI255" s="1"/>
  <c r="BH41"/>
  <c r="BH255" s="1"/>
  <c r="BG41"/>
  <c r="BG255" s="1"/>
  <c r="BE41"/>
  <c r="BE255" s="1"/>
  <c r="BD41"/>
  <c r="BD255" s="1"/>
  <c r="BC41"/>
  <c r="BC255" s="1"/>
  <c r="BA41"/>
  <c r="BA255" s="1"/>
  <c r="AZ41"/>
  <c r="AZ255" s="1"/>
  <c r="AY41"/>
  <c r="AY255" s="1"/>
  <c r="AW41"/>
  <c r="AW255" s="1"/>
  <c r="AT41"/>
  <c r="AT255" s="1"/>
  <c r="AS41"/>
  <c r="AS255" s="1"/>
  <c r="AR41"/>
  <c r="AR255" s="1"/>
  <c r="AP41"/>
  <c r="AP255" s="1"/>
  <c r="AO41"/>
  <c r="AO255" s="1"/>
  <c r="AM41"/>
  <c r="AM255" s="1"/>
  <c r="AL41"/>
  <c r="AL255" s="1"/>
  <c r="AK41"/>
  <c r="AK255" s="1"/>
  <c r="M41"/>
  <c r="M255" s="1"/>
  <c r="K41"/>
  <c r="K255" s="1"/>
  <c r="J41"/>
  <c r="J255" s="1"/>
  <c r="BI10"/>
  <c r="BH10"/>
  <c r="BG10"/>
  <c r="BE10"/>
  <c r="BD10"/>
  <c r="BC10"/>
  <c r="BB10"/>
  <c r="BA10"/>
  <c r="AZ10"/>
  <c r="AY10"/>
  <c r="AX10"/>
  <c r="AV10"/>
  <c r="AT10"/>
  <c r="AS10"/>
  <c r="AP10"/>
  <c r="AO10"/>
  <c r="AM10"/>
  <c r="AL10"/>
  <c r="AK10"/>
  <c r="M10"/>
  <c r="K10"/>
  <c r="J10"/>
  <c r="BI40"/>
  <c r="BH40"/>
  <c r="BG40"/>
  <c r="BE40"/>
  <c r="BD40"/>
  <c r="BC40"/>
  <c r="BB40"/>
  <c r="BA40"/>
  <c r="AZ40"/>
  <c r="AY40"/>
  <c r="AX40"/>
  <c r="AW40"/>
  <c r="CF40" s="1"/>
  <c r="AT40"/>
  <c r="AS40"/>
  <c r="AP40"/>
  <c r="M40"/>
  <c r="K40"/>
  <c r="CB40" s="1"/>
  <c r="J40"/>
  <c r="BR40"/>
  <c r="BQ40"/>
  <c r="BP40"/>
  <c r="M36"/>
  <c r="K36"/>
  <c r="CB36" s="1"/>
  <c r="J36"/>
  <c r="AP36"/>
  <c r="AT36"/>
  <c r="AS36"/>
  <c r="BA36"/>
  <c r="AZ36"/>
  <c r="AY36"/>
  <c r="AW36"/>
  <c r="BB36"/>
  <c r="BE36"/>
  <c r="BD36"/>
  <c r="BH36"/>
  <c r="BG36"/>
  <c r="BI36"/>
  <c r="BR10"/>
  <c r="BQ10"/>
  <c r="BP10"/>
  <c r="AR10"/>
  <c r="AR254" s="1"/>
  <c r="BP27"/>
  <c r="BI27"/>
  <c r="BH27"/>
  <c r="BG27"/>
  <c r="BE27"/>
  <c r="BD27"/>
  <c r="BC27"/>
  <c r="BB27"/>
  <c r="BA27"/>
  <c r="AZ27"/>
  <c r="AY27"/>
  <c r="AX27"/>
  <c r="AV27"/>
  <c r="CD27" s="1"/>
  <c r="AT27"/>
  <c r="AS27"/>
  <c r="AP27"/>
  <c r="AO27"/>
  <c r="AL27"/>
  <c r="AM27"/>
  <c r="AK27"/>
  <c r="BR27"/>
  <c r="BQ27"/>
  <c r="M27"/>
  <c r="K27"/>
  <c r="CB27" s="1"/>
  <c r="J27"/>
  <c r="BS248"/>
  <c r="AR250" l="1"/>
  <c r="AK254"/>
  <c r="AK250" s="1"/>
  <c r="AP254"/>
  <c r="AP250" s="1"/>
  <c r="AX254"/>
  <c r="AX250" s="1"/>
  <c r="BB254"/>
  <c r="BB250" s="1"/>
  <c r="BG254"/>
  <c r="J254"/>
  <c r="J250" s="1"/>
  <c r="AL254"/>
  <c r="AL250" s="1"/>
  <c r="AS254"/>
  <c r="AS250" s="1"/>
  <c r="AY254"/>
  <c r="AY250" s="1"/>
  <c r="BC254"/>
  <c r="BC250" s="1"/>
  <c r="BH254"/>
  <c r="BH250" s="1"/>
  <c r="AW254"/>
  <c r="K254"/>
  <c r="K250" s="1"/>
  <c r="AM254"/>
  <c r="AM250" s="1"/>
  <c r="AT254"/>
  <c r="AT250" s="1"/>
  <c r="AZ254"/>
  <c r="AZ250" s="1"/>
  <c r="BD254"/>
  <c r="BI254"/>
  <c r="BI250" s="1"/>
  <c r="M254"/>
  <c r="M250" s="1"/>
  <c r="AO254"/>
  <c r="AO250" s="1"/>
  <c r="AV254"/>
  <c r="AV250" s="1"/>
  <c r="BA254"/>
  <c r="BA250" s="1"/>
  <c r="BE254"/>
  <c r="BP254"/>
  <c r="BP250" s="1"/>
  <c r="BQ254"/>
  <c r="BQ250" s="1"/>
  <c r="BK258"/>
  <c r="BR254"/>
  <c r="BR250" s="1"/>
  <c r="AI258"/>
  <c r="AO248"/>
  <c r="AV248"/>
  <c r="BA248"/>
  <c r="AR248"/>
  <c r="AK248"/>
  <c r="AP248"/>
  <c r="AX248"/>
  <c r="BB248"/>
  <c r="AQ248"/>
  <c r="AL248"/>
  <c r="AS248"/>
  <c r="AY248"/>
  <c r="BC248"/>
  <c r="BH248"/>
  <c r="AM248"/>
  <c r="AT248"/>
  <c r="AZ248"/>
  <c r="BI248"/>
  <c r="CD10"/>
  <c r="CB10"/>
  <c r="CB254" s="1"/>
  <c r="CF41"/>
  <c r="CF255" s="1"/>
  <c r="BU41"/>
  <c r="BU255" s="1"/>
  <c r="BU250" s="1"/>
  <c r="CC27"/>
  <c r="CG27" s="1"/>
  <c r="CH27"/>
  <c r="CF36"/>
  <c r="CF254" s="1"/>
  <c r="CE40"/>
  <c r="CG40" s="1"/>
  <c r="CH40"/>
  <c r="CB41"/>
  <c r="CB255" s="1"/>
  <c r="CC21"/>
  <c r="CG21" s="1"/>
  <c r="CH21"/>
  <c r="CE48"/>
  <c r="CE258" s="1"/>
  <c r="CH48"/>
  <c r="CH258" s="1"/>
  <c r="AU41"/>
  <c r="AU255" s="1"/>
  <c r="BL54"/>
  <c r="BL258" s="1"/>
  <c r="BQ248"/>
  <c r="BR248"/>
  <c r="BP248"/>
  <c r="CH10" l="1"/>
  <c r="CD254"/>
  <c r="CD250" s="1"/>
  <c r="CB250"/>
  <c r="CC10"/>
  <c r="CC254" s="1"/>
  <c r="CC250" s="1"/>
  <c r="CD248"/>
  <c r="CE41"/>
  <c r="CE255" s="1"/>
  <c r="CH41"/>
  <c r="CH255" s="1"/>
  <c r="CG48"/>
  <c r="CG258" s="1"/>
  <c r="CE36"/>
  <c r="CE254" s="1"/>
  <c r="CH36"/>
  <c r="CB248"/>
  <c r="CH254" l="1"/>
  <c r="CC248"/>
  <c r="CG10"/>
  <c r="CG41"/>
  <c r="CG255" s="1"/>
  <c r="CG36"/>
  <c r="BW248"/>
  <c r="BV248"/>
  <c r="BU248"/>
  <c r="BT248"/>
  <c r="AG248"/>
  <c r="AE248"/>
  <c r="V248"/>
  <c r="U248"/>
  <c r="T248"/>
  <c r="Q248"/>
  <c r="P248"/>
  <c r="M248"/>
  <c r="L248"/>
  <c r="K248"/>
  <c r="J248"/>
  <c r="G248"/>
  <c r="CI248" s="1"/>
  <c r="CG254" l="1"/>
  <c r="G256"/>
  <c r="G253"/>
  <c r="G252" l="1"/>
  <c r="G250" s="1"/>
  <c r="AU37" l="1"/>
  <c r="AU38"/>
  <c r="AU9"/>
  <c r="AU253" s="1"/>
  <c r="AU10"/>
  <c r="AU12"/>
  <c r="AU13"/>
  <c r="AU15"/>
  <c r="AU17"/>
  <c r="AU20"/>
  <c r="AU21"/>
  <c r="AU23"/>
  <c r="AU26"/>
  <c r="AU27"/>
  <c r="AU28"/>
  <c r="AU36"/>
  <c r="AU39"/>
  <c r="AU40"/>
  <c r="AU8"/>
  <c r="AU11"/>
  <c r="AU14"/>
  <c r="AU16"/>
  <c r="AU18"/>
  <c r="AU22"/>
  <c r="AU24"/>
  <c r="AU25"/>
  <c r="AU29"/>
  <c r="AU30"/>
  <c r="AU31"/>
  <c r="AU7"/>
  <c r="AU32"/>
  <c r="AU34"/>
  <c r="AU35"/>
  <c r="AU42"/>
  <c r="AU43"/>
  <c r="AU44"/>
  <c r="AI46"/>
  <c r="AI45"/>
  <c r="AI38"/>
  <c r="AI10"/>
  <c r="AI13"/>
  <c r="AI15"/>
  <c r="AI17"/>
  <c r="AI21"/>
  <c r="AI23"/>
  <c r="AI26"/>
  <c r="AI27"/>
  <c r="AI28"/>
  <c r="AI36"/>
  <c r="AI39"/>
  <c r="AI40"/>
  <c r="AI14"/>
  <c r="AI16"/>
  <c r="AI18"/>
  <c r="AI19"/>
  <c r="AI24"/>
  <c r="AI25"/>
  <c r="AI30"/>
  <c r="AI31"/>
  <c r="AI34"/>
  <c r="AI35"/>
  <c r="AI42"/>
  <c r="AI43"/>
  <c r="AI44"/>
  <c r="BJ11"/>
  <c r="BJ14"/>
  <c r="BJ16"/>
  <c r="BJ18"/>
  <c r="BJ19"/>
  <c r="BJ22"/>
  <c r="BJ24"/>
  <c r="BJ25"/>
  <c r="BJ37"/>
  <c r="BJ38"/>
  <c r="BJ41"/>
  <c r="BJ255" s="1"/>
  <c r="BJ7"/>
  <c r="BJ29"/>
  <c r="BJ30"/>
  <c r="BJ31"/>
  <c r="BJ32"/>
  <c r="BJ33"/>
  <c r="BJ34"/>
  <c r="BJ35"/>
  <c r="BJ42"/>
  <c r="BJ43"/>
  <c r="BJ44"/>
  <c r="BK11"/>
  <c r="BK14"/>
  <c r="BK16"/>
  <c r="BK18"/>
  <c r="BK19"/>
  <c r="BK24"/>
  <c r="BK25"/>
  <c r="BK37"/>
  <c r="BK38"/>
  <c r="BK41"/>
  <c r="BK255" s="1"/>
  <c r="BK7"/>
  <c r="BK30"/>
  <c r="BK31"/>
  <c r="BK32"/>
  <c r="BK34"/>
  <c r="BK35"/>
  <c r="BK42"/>
  <c r="BK43"/>
  <c r="BK44"/>
  <c r="BL11"/>
  <c r="BL14"/>
  <c r="BL16"/>
  <c r="BL18"/>
  <c r="BL19"/>
  <c r="BL24"/>
  <c r="BL25"/>
  <c r="BL37"/>
  <c r="BL38"/>
  <c r="BL41"/>
  <c r="BL255" s="1"/>
  <c r="BL7"/>
  <c r="BL30"/>
  <c r="BL31"/>
  <c r="BL32"/>
  <c r="BL34"/>
  <c r="BL35"/>
  <c r="BL42"/>
  <c r="BL43"/>
  <c r="BL44"/>
  <c r="BM46"/>
  <c r="BM45"/>
  <c r="BM9"/>
  <c r="BM253" s="1"/>
  <c r="BM12"/>
  <c r="BM13"/>
  <c r="BM15"/>
  <c r="BM17"/>
  <c r="BM20"/>
  <c r="BM21"/>
  <c r="BM23"/>
  <c r="BM26"/>
  <c r="BM28"/>
  <c r="BM36"/>
  <c r="BM39"/>
  <c r="BM8"/>
  <c r="BN46"/>
  <c r="BN45"/>
  <c r="BN9"/>
  <c r="BN253" s="1"/>
  <c r="BN12"/>
  <c r="BN13"/>
  <c r="BN15"/>
  <c r="BN17"/>
  <c r="BN20"/>
  <c r="BN21"/>
  <c r="BN23"/>
  <c r="BN26"/>
  <c r="BN28"/>
  <c r="BN36"/>
  <c r="BN39"/>
  <c r="BN8"/>
  <c r="BO46"/>
  <c r="BO45"/>
  <c r="BO9"/>
  <c r="BO253" s="1"/>
  <c r="BO12"/>
  <c r="BO13"/>
  <c r="BO15"/>
  <c r="BO17"/>
  <c r="BO20"/>
  <c r="BO21"/>
  <c r="BO23"/>
  <c r="BO26"/>
  <c r="BO28"/>
  <c r="BO36"/>
  <c r="BO39"/>
  <c r="BO8"/>
  <c r="BG33"/>
  <c r="AW33"/>
  <c r="CF33" s="1"/>
  <c r="BG19"/>
  <c r="BG256" s="1"/>
  <c r="BG250" s="1"/>
  <c r="AW19"/>
  <c r="BE19"/>
  <c r="BD19"/>
  <c r="BE33"/>
  <c r="BD33"/>
  <c r="BX7"/>
  <c r="BX11"/>
  <c r="BX14"/>
  <c r="BX16"/>
  <c r="BX18"/>
  <c r="BX19"/>
  <c r="BX22"/>
  <c r="BX24"/>
  <c r="BX25"/>
  <c r="BX37"/>
  <c r="BX38"/>
  <c r="BX41"/>
  <c r="BX255" s="1"/>
  <c r="BX29"/>
  <c r="BX30"/>
  <c r="BX31"/>
  <c r="BX32"/>
  <c r="BX33"/>
  <c r="BX34"/>
  <c r="BX35"/>
  <c r="BX42"/>
  <c r="BX43"/>
  <c r="BX44"/>
  <c r="AU254" l="1"/>
  <c r="BN257"/>
  <c r="BO254"/>
  <c r="BL252"/>
  <c r="BJ252"/>
  <c r="BO257"/>
  <c r="AI257"/>
  <c r="AW248"/>
  <c r="AW256"/>
  <c r="AW250" s="1"/>
  <c r="BD256"/>
  <c r="BD250" s="1"/>
  <c r="BE248"/>
  <c r="BE256"/>
  <c r="BE250" s="1"/>
  <c r="AU252"/>
  <c r="BX252"/>
  <c r="BM254"/>
  <c r="BJ256"/>
  <c r="BX256"/>
  <c r="BN254"/>
  <c r="BN250" s="1"/>
  <c r="BM257"/>
  <c r="BK252"/>
  <c r="BG248"/>
  <c r="BD248"/>
  <c r="CF19"/>
  <c r="CE33"/>
  <c r="CG33" s="1"/>
  <c r="CH33"/>
  <c r="AF248"/>
  <c r="AD248"/>
  <c r="AI41"/>
  <c r="AI8"/>
  <c r="AI37"/>
  <c r="R248"/>
  <c r="S248"/>
  <c r="N248"/>
  <c r="AI33"/>
  <c r="AI29"/>
  <c r="BO248"/>
  <c r="BN248"/>
  <c r="BM248"/>
  <c r="BJ248"/>
  <c r="AI7"/>
  <c r="AI9"/>
  <c r="BX248"/>
  <c r="O248"/>
  <c r="AU19"/>
  <c r="AU33"/>
  <c r="BL33"/>
  <c r="BL29"/>
  <c r="BL22"/>
  <c r="BK33"/>
  <c r="BK29"/>
  <c r="BK22"/>
  <c r="AI32"/>
  <c r="AI20"/>
  <c r="BJ250" l="1"/>
  <c r="AI255"/>
  <c r="AI253"/>
  <c r="AI252"/>
  <c r="BO250"/>
  <c r="AU256"/>
  <c r="BK256"/>
  <c r="BL256"/>
  <c r="BM250"/>
  <c r="AU250"/>
  <c r="CE19"/>
  <c r="CE256" s="1"/>
  <c r="CE250" s="1"/>
  <c r="CF256"/>
  <c r="CF250" s="1"/>
  <c r="AI254"/>
  <c r="AU248"/>
  <c r="BX250"/>
  <c r="CF248"/>
  <c r="CH19"/>
  <c r="CH256" s="1"/>
  <c r="CH250" s="1"/>
  <c r="BK248"/>
  <c r="BL248"/>
  <c r="AI22"/>
  <c r="W248"/>
  <c r="X248"/>
  <c r="Y248"/>
  <c r="AC248"/>
  <c r="AI256" l="1"/>
  <c r="AI250" s="1"/>
  <c r="AI264" s="1"/>
  <c r="BK250"/>
  <c r="BL250"/>
  <c r="CE248"/>
  <c r="CG19"/>
  <c r="CG256" s="1"/>
  <c r="CG250" s="1"/>
  <c r="AI248"/>
  <c r="CH248"/>
  <c r="CG248" l="1"/>
</calcChain>
</file>

<file path=xl/comments1.xml><?xml version="1.0" encoding="utf-8"?>
<comments xmlns="http://schemas.openxmlformats.org/spreadsheetml/2006/main">
  <authors>
    <author>1</author>
    <author>Суббота Ю.В.</author>
  </authors>
  <commentList>
    <comment ref="N33" authorId="0">
      <text>
        <r>
          <rPr>
            <b/>
            <sz val="8"/>
            <color indexed="81"/>
            <rFont val="Tahoma"/>
            <family val="2"/>
            <charset val="204"/>
          </rPr>
          <t>перевод в неж.ф. 117,177,179</t>
        </r>
      </text>
    </comment>
    <comment ref="N54" authorId="1">
      <text>
        <r>
          <rPr>
            <b/>
            <sz val="8"/>
            <color indexed="81"/>
            <rFont val="Tahoma"/>
            <family val="2"/>
            <charset val="204"/>
          </rPr>
          <t>Суббота Ю.В.:</t>
        </r>
        <r>
          <rPr>
            <sz val="8"/>
            <color indexed="81"/>
            <rFont val="Tahoma"/>
            <family val="2"/>
            <charset val="204"/>
          </rPr>
          <t xml:space="preserve">
??? По дому 71 кв.</t>
        </r>
      </text>
    </comment>
  </commentList>
</comments>
</file>

<file path=xl/comments2.xml><?xml version="1.0" encoding="utf-8"?>
<comments xmlns="http://schemas.openxmlformats.org/spreadsheetml/2006/main">
  <authors>
    <author>1</author>
    <author>Суббота Ю.В.</author>
  </authors>
  <commentList>
    <comment ref="N33" authorId="0">
      <text>
        <r>
          <rPr>
            <b/>
            <sz val="8"/>
            <color indexed="81"/>
            <rFont val="Tahoma"/>
            <family val="2"/>
            <charset val="204"/>
          </rPr>
          <t>перевод в неж.ф. 117,177,179</t>
        </r>
      </text>
    </comment>
    <comment ref="N54" authorId="1">
      <text>
        <r>
          <rPr>
            <b/>
            <sz val="8"/>
            <color indexed="81"/>
            <rFont val="Tahoma"/>
            <family val="2"/>
            <charset val="204"/>
          </rPr>
          <t>Суббота Ю.В.:</t>
        </r>
        <r>
          <rPr>
            <sz val="8"/>
            <color indexed="81"/>
            <rFont val="Tahoma"/>
            <family val="2"/>
            <charset val="204"/>
          </rPr>
          <t xml:space="preserve">
??? По дому 71 кв.</t>
        </r>
      </text>
    </comment>
  </commentList>
</comments>
</file>

<file path=xl/sharedStrings.xml><?xml version="1.0" encoding="utf-8"?>
<sst xmlns="http://schemas.openxmlformats.org/spreadsheetml/2006/main" count="734" uniqueCount="208">
  <si>
    <t xml:space="preserve">№ </t>
  </si>
  <si>
    <t>Всего</t>
  </si>
  <si>
    <t>Кровля</t>
  </si>
  <si>
    <t>Количество</t>
  </si>
  <si>
    <t>Адрес</t>
  </si>
  <si>
    <t>жилая</t>
  </si>
  <si>
    <t>подъездов</t>
  </si>
  <si>
    <t>лифтов</t>
  </si>
  <si>
    <t>медные</t>
  </si>
  <si>
    <t>стальные</t>
  </si>
  <si>
    <t xml:space="preserve"> - Хрущевки</t>
  </si>
  <si>
    <t xml:space="preserve"> - К-69</t>
  </si>
  <si>
    <t xml:space="preserve"> - Серия -84</t>
  </si>
  <si>
    <t xml:space="preserve"> - Серия 111-112</t>
  </si>
  <si>
    <t xml:space="preserve"> - НК-12</t>
  </si>
  <si>
    <t>Жилищный фонд всего, в т.ч.:</t>
  </si>
  <si>
    <t>ИТОГО:</t>
  </si>
  <si>
    <t xml:space="preserve"> - Сталинки</t>
  </si>
  <si>
    <t xml:space="preserve"> -ДГТ</t>
  </si>
  <si>
    <t>кирпичные дома</t>
  </si>
  <si>
    <t>кол-во зданий</t>
  </si>
  <si>
    <t>панельные дома</t>
  </si>
  <si>
    <t>Кол-во светильников дворового освещения, шт.</t>
  </si>
  <si>
    <t>Длина трубопроводов ТВС в домах с верхней разводкой, м.п.</t>
  </si>
  <si>
    <t>Шпальные клети, ед.</t>
  </si>
  <si>
    <t>250Вт</t>
  </si>
  <si>
    <t>400Вт</t>
  </si>
  <si>
    <t>111-84</t>
  </si>
  <si>
    <t>111-112</t>
  </si>
  <si>
    <t>сталинка</t>
  </si>
  <si>
    <t>50 лет Октября 2</t>
  </si>
  <si>
    <t>Год ввода</t>
  </si>
  <si>
    <t>кол-во этажей</t>
  </si>
  <si>
    <t>Материал стен</t>
  </si>
  <si>
    <t>Объем здания</t>
  </si>
  <si>
    <t>Площадь застройки, кв.м</t>
  </si>
  <si>
    <t>железная, кв.м</t>
  </si>
  <si>
    <t>мягкая, кв.м</t>
  </si>
  <si>
    <t>квартир, ед.</t>
  </si>
  <si>
    <t>комнат, ед.</t>
  </si>
  <si>
    <t>проживающих, чел.</t>
  </si>
  <si>
    <t>общая</t>
  </si>
  <si>
    <t>ВСЕГО</t>
  </si>
  <si>
    <t>площадь, кв.м</t>
  </si>
  <si>
    <r>
      <t>площадь придомовой территории, м</t>
    </r>
    <r>
      <rPr>
        <vertAlign val="superscript"/>
        <sz val="10"/>
        <rFont val="Times New Roman"/>
        <family val="1"/>
        <charset val="204"/>
      </rPr>
      <t>2</t>
    </r>
  </si>
  <si>
    <t>Шкафы, ед.</t>
  </si>
  <si>
    <t>Лифты, ед.</t>
  </si>
  <si>
    <t>Подъезды, ед.</t>
  </si>
  <si>
    <t>Мусорокамеры, ед.</t>
  </si>
  <si>
    <t>Мусоросборники, ед.</t>
  </si>
  <si>
    <t>теплоцентры, ед.</t>
  </si>
  <si>
    <t>Вводные сети, п.м.</t>
  </si>
  <si>
    <t>ТВС в подъезде, п.м.</t>
  </si>
  <si>
    <t>Межпанельные стыки, п.м.</t>
  </si>
  <si>
    <t>Сваи, шт.</t>
  </si>
  <si>
    <t>Окна в подъездах, шт.</t>
  </si>
  <si>
    <t>Двери в подъездах, шт.</t>
  </si>
  <si>
    <t>Окна в квартирах, шт.</t>
  </si>
  <si>
    <t>Двери в квартирах, шт.</t>
  </si>
  <si>
    <t>Электрощитовые, шт.</t>
  </si>
  <si>
    <t>Сеть электропитания, п.м.</t>
  </si>
  <si>
    <t>в т.ч.</t>
  </si>
  <si>
    <t>квартир</t>
  </si>
  <si>
    <t>ПЛОЩАДЬ ВСЕГО ПО ДОМУ (ЖИЛАЯ+НЕЖИЛАЯ), КВ.М</t>
  </si>
  <si>
    <r>
      <t>общая площадь, м</t>
    </r>
    <r>
      <rPr>
        <vertAlign val="superscript"/>
        <sz val="10"/>
        <rFont val="Times New Roman"/>
        <family val="1"/>
        <charset val="204"/>
      </rPr>
      <t>2</t>
    </r>
  </si>
  <si>
    <r>
      <t>жилая площадь, м</t>
    </r>
    <r>
      <rPr>
        <vertAlign val="superscript"/>
        <sz val="10"/>
        <rFont val="Times New Roman"/>
        <family val="1"/>
        <charset val="204"/>
      </rPr>
      <t>2</t>
    </r>
  </si>
  <si>
    <t>Подразделение</t>
  </si>
  <si>
    <t>Советская 8</t>
  </si>
  <si>
    <t>Комсомольская 4</t>
  </si>
  <si>
    <t>Комсомольская 7</t>
  </si>
  <si>
    <t>Комсомольская 8</t>
  </si>
  <si>
    <t>Комсомольская 9</t>
  </si>
  <si>
    <t>Комсомольская 10</t>
  </si>
  <si>
    <t>Комсомольская 11</t>
  </si>
  <si>
    <t>Комсомольская 12</t>
  </si>
  <si>
    <t>Комсомольская 14</t>
  </si>
  <si>
    <t>Комсомольская 15</t>
  </si>
  <si>
    <t>Комсомольская 18</t>
  </si>
  <si>
    <t>Комсомольская 19</t>
  </si>
  <si>
    <t>Комсомольская 20</t>
  </si>
  <si>
    <t>Комсомольская 22</t>
  </si>
  <si>
    <t>Комсомольская 23</t>
  </si>
  <si>
    <t>Комсомольская 27</t>
  </si>
  <si>
    <t>Набережная 37</t>
  </si>
  <si>
    <t>Набережная 39</t>
  </si>
  <si>
    <t>Набережная 41</t>
  </si>
  <si>
    <t>Ленинский 3</t>
  </si>
  <si>
    <t>Ленинский 5</t>
  </si>
  <si>
    <t>Ленинский 7</t>
  </si>
  <si>
    <t>Ленинский 11</t>
  </si>
  <si>
    <t>Ленинский 13</t>
  </si>
  <si>
    <t>Ленинский 15</t>
  </si>
  <si>
    <t>Ленинский 17</t>
  </si>
  <si>
    <t>Советская 4</t>
  </si>
  <si>
    <t>Советская 6</t>
  </si>
  <si>
    <t>ж.тр.</t>
  </si>
  <si>
    <t>ж.тр./1</t>
  </si>
  <si>
    <t>ж.тр./дгт</t>
  </si>
  <si>
    <t>ж.тр./общ.</t>
  </si>
  <si>
    <t>пан</t>
  </si>
  <si>
    <t>кир</t>
  </si>
  <si>
    <t>ЧАСТНАЯ СОБСТВЕННОСТЬ</t>
  </si>
  <si>
    <t>МУНИЦИПАЛЬНАЯ СОБСТВЕННОСТЬ</t>
  </si>
  <si>
    <t>ЖИЛЫЕ ПОМЕЩЕНИЯ</t>
  </si>
  <si>
    <t>НЕЖИЛЫЕ ПОМЕЩЕНИЯ, КВ.М</t>
  </si>
  <si>
    <t>Внутриквартирные трубопроводы, п.м.</t>
  </si>
  <si>
    <t>1-447с</t>
  </si>
  <si>
    <t>1-464-82д</t>
  </si>
  <si>
    <t>к-69</t>
  </si>
  <si>
    <t>нк-12</t>
  </si>
  <si>
    <t>50 лет Октября 1 /Ленинский 1</t>
  </si>
  <si>
    <t>смешанные дома</t>
  </si>
  <si>
    <t>смеш</t>
  </si>
  <si>
    <t>Комсомольская 25</t>
  </si>
  <si>
    <t>Набережная 33</t>
  </si>
  <si>
    <t>Набережная 45</t>
  </si>
  <si>
    <t>Комсомольская 3</t>
  </si>
  <si>
    <t>Набережная 49</t>
  </si>
  <si>
    <t>Комсомольская 17</t>
  </si>
  <si>
    <r>
      <t xml:space="preserve">МКД с </t>
    </r>
    <r>
      <rPr>
        <u/>
        <sz val="10"/>
        <rFont val="Times New Roman"/>
        <family val="1"/>
        <charset val="204"/>
      </rPr>
      <t>МЕДНЫМИ</t>
    </r>
    <r>
      <rPr>
        <sz val="10"/>
        <rFont val="Times New Roman"/>
        <family val="1"/>
        <charset val="204"/>
      </rPr>
      <t xml:space="preserve"> внутриквартирными трубопроводами</t>
    </r>
  </si>
  <si>
    <r>
      <t xml:space="preserve">МКД со </t>
    </r>
    <r>
      <rPr>
        <u/>
        <sz val="10"/>
        <rFont val="Times New Roman"/>
        <family val="1"/>
        <charset val="204"/>
      </rPr>
      <t>СТАЛЬНЫМИ</t>
    </r>
    <r>
      <rPr>
        <sz val="10"/>
        <rFont val="Times New Roman"/>
        <family val="1"/>
        <charset val="204"/>
      </rPr>
      <t xml:space="preserve"> внутриквартирными трубопроводами</t>
    </r>
  </si>
  <si>
    <t>кол-во МКД, ед.</t>
  </si>
  <si>
    <t>длина трубопроводов, п.м</t>
  </si>
  <si>
    <r>
      <t>площадь земельного участка по кадастровому паспорту, м</t>
    </r>
    <r>
      <rPr>
        <vertAlign val="superscript"/>
        <sz val="11"/>
        <rFont val="Times New Roman"/>
        <family val="1"/>
        <charset val="204"/>
      </rPr>
      <t>2</t>
    </r>
  </si>
  <si>
    <t>в том числе</t>
  </si>
  <si>
    <t>кап.р., реконструкция</t>
  </si>
  <si>
    <t>под аренду</t>
  </si>
  <si>
    <t>ГОСУДАРСТВЕННАЯ СОБСТВЕННОСТЬ</t>
  </si>
  <si>
    <t>ВСЕГО (муниц.+ частная+гос.)</t>
  </si>
  <si>
    <t>лицевых счетов, ед.</t>
  </si>
  <si>
    <t>Лауреатов 23</t>
  </si>
  <si>
    <t>Лауреатов 81</t>
  </si>
  <si>
    <t>Лауреатов 31</t>
  </si>
  <si>
    <t>Ленинский 46</t>
  </si>
  <si>
    <t>Металлургов 29</t>
  </si>
  <si>
    <t>Михайличенко 6</t>
  </si>
  <si>
    <t>Молодежный 25</t>
  </si>
  <si>
    <t>Орджоникидзе 19</t>
  </si>
  <si>
    <t>Севастопольская 13</t>
  </si>
  <si>
    <t>Талнахская 67</t>
  </si>
  <si>
    <r>
      <t>Фасад, м</t>
    </r>
    <r>
      <rPr>
        <vertAlign val="superscript"/>
        <sz val="10"/>
        <rFont val="Times New Roman"/>
        <family val="1"/>
        <charset val="204"/>
      </rPr>
      <t>2</t>
    </r>
  </si>
  <si>
    <r>
      <t>Газоны, м</t>
    </r>
    <r>
      <rPr>
        <vertAlign val="superscript"/>
        <sz val="10"/>
        <rFont val="Times New Roman"/>
        <family val="1"/>
        <charset val="204"/>
      </rPr>
      <t>2</t>
    </r>
  </si>
  <si>
    <r>
      <t>Цокольная забирка, м</t>
    </r>
    <r>
      <rPr>
        <vertAlign val="superscript"/>
        <sz val="10"/>
        <rFont val="Times New Roman"/>
        <family val="1"/>
        <charset val="204"/>
      </rPr>
      <t>2</t>
    </r>
  </si>
  <si>
    <r>
      <t>Площадь подполий, м</t>
    </r>
    <r>
      <rPr>
        <vertAlign val="superscript"/>
        <sz val="10"/>
        <rFont val="Times New Roman"/>
        <family val="1"/>
        <charset val="204"/>
      </rPr>
      <t>2</t>
    </r>
  </si>
  <si>
    <r>
      <t>Площадь чердаков, м</t>
    </r>
    <r>
      <rPr>
        <vertAlign val="superscript"/>
        <sz val="10"/>
        <rFont val="Times New Roman"/>
        <family val="1"/>
        <charset val="204"/>
      </rPr>
      <t>2</t>
    </r>
  </si>
  <si>
    <r>
      <t>Площадь чердаков с верхней разводкой ТВС, м</t>
    </r>
    <r>
      <rPr>
        <vertAlign val="superscript"/>
        <sz val="10"/>
        <rFont val="Times New Roman"/>
        <family val="1"/>
        <charset val="204"/>
      </rPr>
      <t>2</t>
    </r>
  </si>
  <si>
    <r>
      <t>площадь фасада кирпичные здания, м</t>
    </r>
    <r>
      <rPr>
        <vertAlign val="superscript"/>
        <sz val="10"/>
        <rFont val="Times New Roman"/>
        <family val="1"/>
        <charset val="204"/>
      </rPr>
      <t>2</t>
    </r>
  </si>
  <si>
    <t>Всего:</t>
  </si>
  <si>
    <t>МКД, в которых общедомовые приборы учета приняты в коммерческий учет *</t>
  </si>
  <si>
    <t>Количество общедомовых приборов учета, установленных в МКД, ед. **</t>
  </si>
  <si>
    <t>АИТП (автоматизированный индивидуальный тепловой пункт), ед.</t>
  </si>
  <si>
    <t>Количество жилых помещений, ед.:</t>
  </si>
  <si>
    <t>из них:</t>
  </si>
  <si>
    <t>оборудованные индивидуальными приборами учета:</t>
  </si>
  <si>
    <t>техническая возможность установки</t>
  </si>
  <si>
    <t>электроэнергия</t>
  </si>
  <si>
    <t>тепловая энергия</t>
  </si>
  <si>
    <t>горячая вода</t>
  </si>
  <si>
    <t>холодная вода</t>
  </si>
  <si>
    <t>частные</t>
  </si>
  <si>
    <t>муниципальные</t>
  </si>
  <si>
    <t>электроэнергия***</t>
  </si>
  <si>
    <t>горячая вода***</t>
  </si>
  <si>
    <t>необходимое кол-во приборов учета, ед.</t>
  </si>
  <si>
    <t>установленное кол-во приборов учета, ед.</t>
  </si>
  <si>
    <t>холодная вода***</t>
  </si>
  <si>
    <t>ХГВ</t>
  </si>
  <si>
    <t xml:space="preserve"> - 5-эт. МКД коридорного типа</t>
  </si>
  <si>
    <t>Серия МКД</t>
  </si>
  <si>
    <t>площадь помещений, входящих в состав общего имущества МКД, для применения нормативов потребления коммунальных ресурсов для СОИ в МКД, кв.м</t>
  </si>
  <si>
    <t>по электроэнергии</t>
  </si>
  <si>
    <t>по ХВС, ГВС, отведению сточных вод</t>
  </si>
  <si>
    <t>Комсомольская 7А</t>
  </si>
  <si>
    <t>Комсомольская 1А</t>
  </si>
  <si>
    <t xml:space="preserve"> - К-69-5</t>
  </si>
  <si>
    <t>Характеристика жилищного фонда, обслуживаемого ООО "Жилищный трест", по состоянию  на 01.01.2018</t>
  </si>
  <si>
    <r>
      <t xml:space="preserve">физический износ, % </t>
    </r>
    <r>
      <rPr>
        <sz val="10"/>
        <rFont val="Times New Roman"/>
        <family val="1"/>
        <charset val="204"/>
      </rPr>
      <t>(осмотр осень 2017)</t>
    </r>
  </si>
  <si>
    <t>данные по состоянию на 01.01.2017</t>
  </si>
  <si>
    <t>в части жилых помещений</t>
  </si>
  <si>
    <t>всего по МКД</t>
  </si>
  <si>
    <t>доля муниципального образования
в праве общей собственности на общее имущество в МКД более 50%</t>
  </si>
  <si>
    <t>площадь всех жилых помещений в МКД, кв.м</t>
  </si>
  <si>
    <r>
      <t xml:space="preserve">доля в площади муниципальных </t>
    </r>
    <r>
      <rPr>
        <b/>
        <i/>
        <u/>
        <sz val="10"/>
        <color rgb="FFFF0000"/>
        <rFont val="Times New Roman"/>
        <family val="1"/>
        <charset val="204"/>
      </rPr>
      <t>жил.помещ.</t>
    </r>
    <r>
      <rPr>
        <i/>
        <sz val="10"/>
        <color rgb="FFFF0000"/>
        <rFont val="Times New Roman"/>
        <family val="1"/>
        <charset val="204"/>
      </rPr>
      <t xml:space="preserve"> в МКД, %</t>
    </r>
  </si>
  <si>
    <t>площадь всего в МКД, кв.м</t>
  </si>
  <si>
    <r>
      <t xml:space="preserve">доля в площади муниципальных </t>
    </r>
    <r>
      <rPr>
        <b/>
        <i/>
        <u/>
        <sz val="10"/>
        <color rgb="FFFF0000"/>
        <rFont val="Times New Roman"/>
        <family val="1"/>
        <charset val="204"/>
      </rPr>
      <t>жил. и нежил. помещ.</t>
    </r>
    <r>
      <rPr>
        <i/>
        <sz val="10"/>
        <color rgb="FFFF0000"/>
        <rFont val="Times New Roman"/>
        <family val="1"/>
        <charset val="204"/>
      </rPr>
      <t xml:space="preserve"> в МКД, %</t>
    </r>
  </si>
  <si>
    <t>18.1.</t>
  </si>
  <si>
    <t>Доля част.собственности жилых квартир, %</t>
  </si>
  <si>
    <t>Доля мун.собственности жилых квартир, %</t>
  </si>
  <si>
    <t>21.1.</t>
  </si>
  <si>
    <t>без Лаур.81</t>
  </si>
  <si>
    <t>с лифтами</t>
  </si>
  <si>
    <t>с лифтами без Лаур.81</t>
  </si>
  <si>
    <r>
      <t>Фасад,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</si>
  <si>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Газоны,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</si>
  <si>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Цокольная забирка,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</si>
  <si>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Площадь подполий,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</si>
  <si>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Площадь чердаков,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</si>
  <si>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Площадь чердаков с верхней разводкой ТВС,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</si>
  <si>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площадь фасада кирпичные здания,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</si>
  <si>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площадь земельного участка по кадастровому паспорту,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</si>
  <si>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площадь придомовой территории,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</si>
  <si>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 xml:space="preserve">МКД с </t>
    </r>
    <r>
      <rPr>
        <u/>
        <sz val="10"/>
        <color theme="1"/>
        <rFont val="Times New Roman"/>
        <family val="1"/>
        <charset val="204"/>
      </rPr>
      <t>МЕДНЫМИ</t>
    </r>
    <r>
      <rPr>
        <sz val="10"/>
        <color theme="1"/>
        <rFont val="Times New Roman"/>
        <family val="1"/>
        <charset val="204"/>
      </rPr>
      <t xml:space="preserve"> внутриквартирными трубопроводами</t>
    </r>
  </si>
  <si>
    <r>
      <t xml:space="preserve">МКД со </t>
    </r>
    <r>
      <rPr>
        <u/>
        <sz val="10"/>
        <color theme="1"/>
        <rFont val="Times New Roman"/>
        <family val="1"/>
        <charset val="204"/>
      </rPr>
      <t>СТАЛЬНЫМИ</t>
    </r>
    <r>
      <rPr>
        <sz val="10"/>
        <color theme="1"/>
        <rFont val="Times New Roman"/>
        <family val="1"/>
        <charset val="204"/>
      </rPr>
      <t xml:space="preserve"> внутриквартирными трубопроводами</t>
    </r>
  </si>
  <si>
    <r>
      <t xml:space="preserve">физический износ, % </t>
    </r>
    <r>
      <rPr>
        <sz val="10"/>
        <color theme="1"/>
        <rFont val="Times New Roman"/>
        <family val="1"/>
        <charset val="204"/>
      </rPr>
      <t>(осмотр осень 2017)</t>
    </r>
  </si>
  <si>
    <r>
      <t>общая площадь,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</si>
  <si>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жилая площадь, 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</si>
  <si>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 xml:space="preserve">доля в площади муниципальных </t>
    </r>
    <r>
      <rPr>
        <b/>
        <i/>
        <u/>
        <sz val="10"/>
        <color theme="1"/>
        <rFont val="Times New Roman"/>
        <family val="1"/>
        <charset val="204"/>
      </rPr>
      <t>жил.помещ.</t>
    </r>
    <r>
      <rPr>
        <i/>
        <sz val="10"/>
        <color theme="1"/>
        <rFont val="Times New Roman"/>
        <family val="1"/>
        <charset val="204"/>
      </rPr>
      <t xml:space="preserve"> в МКД, %</t>
    </r>
  </si>
  <si>
    <r>
      <t xml:space="preserve">доля в площади муниципальных </t>
    </r>
    <r>
      <rPr>
        <b/>
        <i/>
        <u/>
        <sz val="10"/>
        <color theme="1"/>
        <rFont val="Times New Roman"/>
        <family val="1"/>
        <charset val="204"/>
      </rPr>
      <t>жил. и нежил. помещ.</t>
    </r>
    <r>
      <rPr>
        <i/>
        <sz val="10"/>
        <color theme="1"/>
        <rFont val="Times New Roman"/>
        <family val="1"/>
        <charset val="204"/>
      </rPr>
      <t xml:space="preserve"> в МКД, %</t>
    </r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</si>
</sst>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\ _р_._-;\-* #,##0\ _р_._-;_-* &quot;-&quot;??\ _р_._-;_-@_-"/>
    <numFmt numFmtId="165" formatCode="_-* #,##0.00\ _р_._-;\-* #,##0.00\ _р_._-;_-* &quot;-&quot;??\ _р_._-;_-@_-"/>
    <numFmt numFmtId="166" formatCode="#,##0.0"/>
    <numFmt numFmtId="167" formatCode="0.0"/>
    <numFmt numFmtId="168" formatCode="0.0%"/>
  </numFmts>
  <fonts count="39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Arial Cyr"/>
    </font>
    <font>
      <vertAlign val="superscript"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9" tint="-0.499984740745262"/>
      <name val="Times New Roman"/>
      <family val="1"/>
      <charset val="204"/>
    </font>
    <font>
      <sz val="10"/>
      <color theme="8" tint="-0.49998474074526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i/>
      <u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</cellStyleXfs>
  <cellXfs count="495">
    <xf numFmtId="0" fontId="0" fillId="0" borderId="0" xfId="0"/>
    <xf numFmtId="0" fontId="5" fillId="0" borderId="0" xfId="3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Fill="1" applyAlignment="1">
      <alignment vertical="center"/>
    </xf>
    <xf numFmtId="3" fontId="1" fillId="0" borderId="1" xfId="1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>
      <alignment horizontal="right"/>
    </xf>
    <xf numFmtId="0" fontId="1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1" fillId="0" borderId="1" xfId="1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Alignment="1">
      <alignment vertical="center"/>
    </xf>
    <xf numFmtId="166" fontId="1" fillId="0" borderId="1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horizontal="centerContinuous" vertical="center"/>
    </xf>
    <xf numFmtId="0" fontId="1" fillId="0" borderId="0" xfId="3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164" fontId="1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vertical="center"/>
    </xf>
    <xf numFmtId="0" fontId="1" fillId="0" borderId="1" xfId="1" applyNumberFormat="1" applyFont="1" applyFill="1" applyBorder="1" applyAlignment="1" applyProtection="1">
      <alignment horizontal="left" vertical="center"/>
      <protection locked="0"/>
    </xf>
    <xf numFmtId="0" fontId="1" fillId="0" borderId="1" xfId="1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12" fillId="0" borderId="1" xfId="1" applyNumberFormat="1" applyFont="1" applyFill="1" applyBorder="1" applyAlignment="1" applyProtection="1">
      <alignment horizontal="right"/>
      <protection locked="0"/>
    </xf>
    <xf numFmtId="3" fontId="1" fillId="0" borderId="1" xfId="3" applyNumberFormat="1" applyFont="1" applyFill="1" applyBorder="1" applyAlignment="1">
      <alignment horizontal="right" vertical="center"/>
    </xf>
    <xf numFmtId="166" fontId="1" fillId="0" borderId="1" xfId="1" applyNumberFormat="1" applyFont="1" applyFill="1" applyBorder="1" applyAlignment="1">
      <alignment horizontal="right" vertical="center"/>
    </xf>
    <xf numFmtId="166" fontId="1" fillId="0" borderId="1" xfId="3" applyNumberFormat="1" applyFont="1" applyFill="1" applyBorder="1" applyAlignment="1" applyProtection="1">
      <alignment horizontal="right" vertical="center"/>
      <protection locked="0"/>
    </xf>
    <xf numFmtId="166" fontId="1" fillId="0" borderId="1" xfId="0" applyNumberFormat="1" applyFont="1" applyFill="1" applyBorder="1" applyAlignment="1">
      <alignment horizontal="right" vertical="center"/>
    </xf>
    <xf numFmtId="3" fontId="1" fillId="0" borderId="0" xfId="1" applyNumberFormat="1" applyFont="1" applyFill="1" applyAlignment="1">
      <alignment horizontal="right" vertical="center"/>
    </xf>
    <xf numFmtId="3" fontId="1" fillId="0" borderId="0" xfId="1" applyNumberFormat="1" applyFont="1" applyFill="1" applyAlignment="1">
      <alignment vertical="center"/>
    </xf>
    <xf numFmtId="0" fontId="1" fillId="0" borderId="1" xfId="1" applyNumberFormat="1" applyFont="1" applyFill="1" applyBorder="1" applyAlignment="1">
      <alignment vertical="center"/>
    </xf>
    <xf numFmtId="0" fontId="12" fillId="0" borderId="1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Alignment="1">
      <alignment vertical="center"/>
    </xf>
    <xf numFmtId="0" fontId="12" fillId="0" borderId="1" xfId="0" applyNumberFormat="1" applyFont="1" applyFill="1" applyBorder="1" applyAlignment="1" applyProtection="1">
      <alignment horizontal="right"/>
      <protection locked="0"/>
    </xf>
    <xf numFmtId="0" fontId="12" fillId="0" borderId="1" xfId="0" applyNumberFormat="1" applyFont="1" applyFill="1" applyBorder="1" applyAlignment="1">
      <alignment horizontal="right"/>
    </xf>
    <xf numFmtId="4" fontId="1" fillId="0" borderId="1" xfId="3" applyNumberFormat="1" applyFont="1" applyFill="1" applyBorder="1" applyAlignment="1" applyProtection="1">
      <alignment horizontal="right" vertical="center"/>
      <protection locked="0"/>
    </xf>
    <xf numFmtId="3" fontId="1" fillId="0" borderId="1" xfId="3" applyNumberFormat="1" applyFont="1" applyFill="1" applyBorder="1" applyAlignment="1" applyProtection="1">
      <alignment horizontal="right" vertical="center"/>
      <protection locked="0"/>
    </xf>
    <xf numFmtId="0" fontId="12" fillId="0" borderId="1" xfId="1" applyNumberFormat="1" applyFont="1" applyFill="1" applyBorder="1" applyAlignment="1" applyProtection="1">
      <alignment horizontal="right" vertical="center" wrapText="1"/>
      <protection locked="0"/>
    </xf>
    <xf numFmtId="166" fontId="1" fillId="0" borderId="1" xfId="3" applyNumberFormat="1" applyFont="1" applyFill="1" applyBorder="1" applyAlignment="1">
      <alignment horizontal="right" vertical="center"/>
    </xf>
    <xf numFmtId="0" fontId="15" fillId="0" borderId="1" xfId="1" applyNumberFormat="1" applyFont="1" applyFill="1" applyBorder="1" applyAlignment="1" applyProtection="1">
      <alignment horizontal="left" vertical="center"/>
      <protection locked="0"/>
    </xf>
    <xf numFmtId="0" fontId="15" fillId="0" borderId="1" xfId="1" applyNumberFormat="1" applyFont="1" applyFill="1" applyBorder="1" applyAlignment="1" applyProtection="1">
      <alignment horizontal="right" vertical="center"/>
      <protection locked="0"/>
    </xf>
    <xf numFmtId="1" fontId="15" fillId="0" borderId="1" xfId="1" applyNumberFormat="1" applyFont="1" applyFill="1" applyBorder="1" applyAlignment="1">
      <alignment horizontal="right" vertical="center"/>
    </xf>
    <xf numFmtId="0" fontId="15" fillId="0" borderId="1" xfId="1" applyNumberFormat="1" applyFont="1" applyFill="1" applyBorder="1" applyAlignment="1" applyProtection="1">
      <alignment horizontal="center" vertical="center"/>
      <protection locked="0"/>
    </xf>
    <xf numFmtId="0" fontId="15" fillId="0" borderId="1" xfId="6" applyFont="1" applyFill="1" applyBorder="1" applyAlignment="1">
      <alignment vertical="center"/>
    </xf>
    <xf numFmtId="0" fontId="15" fillId="0" borderId="1" xfId="1" applyNumberFormat="1" applyFont="1" applyFill="1" applyBorder="1" applyAlignment="1">
      <alignment horizontal="right" vertical="center"/>
    </xf>
    <xf numFmtId="3" fontId="15" fillId="0" borderId="1" xfId="1" applyNumberFormat="1" applyFont="1" applyFill="1" applyBorder="1" applyAlignment="1">
      <alignment horizontal="right" vertical="center"/>
    </xf>
    <xf numFmtId="3" fontId="12" fillId="0" borderId="1" xfId="1" applyNumberFormat="1" applyFont="1" applyFill="1" applyBorder="1" applyAlignment="1">
      <alignment horizontal="right" vertical="center"/>
    </xf>
    <xf numFmtId="4" fontId="15" fillId="0" borderId="1" xfId="5" applyNumberFormat="1" applyFont="1" applyFill="1" applyBorder="1" applyAlignment="1" applyProtection="1">
      <alignment horizontal="right" vertical="center"/>
      <protection locked="0"/>
    </xf>
    <xf numFmtId="3" fontId="1" fillId="0" borderId="1" xfId="5" applyNumberFormat="1" applyFont="1" applyFill="1" applyBorder="1" applyAlignment="1">
      <alignment horizontal="right" vertical="center"/>
    </xf>
    <xf numFmtId="166" fontId="15" fillId="0" borderId="1" xfId="1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0" fontId="12" fillId="0" borderId="1" xfId="1" applyNumberFormat="1" applyFont="1" applyFill="1" applyBorder="1" applyAlignment="1" applyProtection="1">
      <alignment horizontal="left" vertical="center"/>
      <protection locked="0"/>
    </xf>
    <xf numFmtId="0" fontId="12" fillId="0" borderId="1" xfId="1" applyNumberFormat="1" applyFont="1" applyFill="1" applyBorder="1" applyAlignment="1" applyProtection="1">
      <alignment horizontal="right" vertical="center"/>
      <protection locked="0"/>
    </xf>
    <xf numFmtId="1" fontId="12" fillId="0" borderId="1" xfId="1" applyNumberFormat="1" applyFont="1" applyFill="1" applyBorder="1" applyAlignment="1">
      <alignment vertical="center"/>
    </xf>
    <xf numFmtId="0" fontId="12" fillId="0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1" xfId="6" applyFont="1" applyFill="1" applyBorder="1" applyAlignment="1">
      <alignment vertical="center"/>
    </xf>
    <xf numFmtId="3" fontId="12" fillId="0" borderId="1" xfId="1" applyNumberFormat="1" applyFont="1" applyFill="1" applyBorder="1" applyAlignment="1">
      <alignment vertical="center"/>
    </xf>
    <xf numFmtId="3" fontId="12" fillId="0" borderId="1" xfId="1" applyNumberFormat="1" applyFont="1" applyFill="1" applyBorder="1" applyAlignment="1" applyProtection="1">
      <alignment horizontal="center" vertical="center"/>
      <protection locked="0"/>
    </xf>
    <xf numFmtId="4" fontId="12" fillId="0" borderId="1" xfId="5" applyNumberFormat="1" applyFont="1" applyFill="1" applyBorder="1" applyAlignment="1">
      <alignment vertical="center"/>
    </xf>
    <xf numFmtId="3" fontId="12" fillId="0" borderId="1" xfId="5" applyNumberFormat="1" applyFont="1" applyFill="1" applyBorder="1" applyAlignment="1">
      <alignment vertical="center"/>
    </xf>
    <xf numFmtId="3" fontId="1" fillId="0" borderId="1" xfId="5" applyNumberFormat="1" applyFont="1" applyFill="1" applyBorder="1" applyAlignment="1">
      <alignment vertical="center"/>
    </xf>
    <xf numFmtId="166" fontId="12" fillId="0" borderId="1" xfId="1" applyNumberFormat="1" applyFont="1" applyFill="1" applyBorder="1" applyAlignment="1">
      <alignment vertical="center"/>
    </xf>
    <xf numFmtId="4" fontId="12" fillId="0" borderId="1" xfId="5" applyNumberFormat="1" applyFont="1" applyFill="1" applyBorder="1" applyAlignment="1" applyProtection="1">
      <alignment vertical="center"/>
      <protection locked="0"/>
    </xf>
    <xf numFmtId="4" fontId="12" fillId="0" borderId="1" xfId="1" applyNumberFormat="1" applyFont="1" applyFill="1" applyBorder="1" applyAlignment="1">
      <alignment vertical="center"/>
    </xf>
    <xf numFmtId="3" fontId="12" fillId="0" borderId="1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vertical="center"/>
    </xf>
    <xf numFmtId="0" fontId="12" fillId="0" borderId="0" xfId="1" applyNumberFormat="1" applyFont="1" applyFill="1" applyAlignment="1">
      <alignment vertical="center"/>
    </xf>
    <xf numFmtId="0" fontId="16" fillId="0" borderId="1" xfId="1" applyNumberFormat="1" applyFont="1" applyFill="1" applyBorder="1" applyAlignment="1" applyProtection="1">
      <alignment horizontal="left" vertical="center"/>
      <protection locked="0"/>
    </xf>
    <xf numFmtId="0" fontId="16" fillId="0" borderId="1" xfId="1" applyNumberFormat="1" applyFont="1" applyFill="1" applyBorder="1" applyAlignment="1" applyProtection="1">
      <alignment horizontal="right" vertical="center"/>
      <protection locked="0"/>
    </xf>
    <xf numFmtId="1" fontId="16" fillId="0" borderId="1" xfId="1" applyNumberFormat="1" applyFont="1" applyFill="1" applyBorder="1" applyAlignment="1">
      <alignment vertical="center"/>
    </xf>
    <xf numFmtId="0" fontId="16" fillId="0" borderId="1" xfId="1" applyNumberFormat="1" applyFont="1" applyFill="1" applyBorder="1" applyAlignment="1" applyProtection="1">
      <alignment horizontal="center" vertical="center"/>
      <protection locked="0"/>
    </xf>
    <xf numFmtId="3" fontId="16" fillId="0" borderId="1" xfId="1" applyNumberFormat="1" applyFont="1" applyFill="1" applyBorder="1" applyAlignment="1">
      <alignment vertical="center"/>
    </xf>
    <xf numFmtId="3" fontId="16" fillId="0" borderId="1" xfId="1" applyNumberFormat="1" applyFont="1" applyFill="1" applyBorder="1" applyAlignment="1" applyProtection="1">
      <alignment horizontal="center" vertical="center"/>
      <protection locked="0"/>
    </xf>
    <xf numFmtId="4" fontId="16" fillId="0" borderId="1" xfId="5" applyNumberFormat="1" applyFont="1" applyFill="1" applyBorder="1" applyAlignment="1" applyProtection="1">
      <alignment vertical="center"/>
      <protection locked="0"/>
    </xf>
    <xf numFmtId="3" fontId="16" fillId="0" borderId="1" xfId="5" applyNumberFormat="1" applyFont="1" applyFill="1" applyBorder="1" applyAlignment="1" applyProtection="1">
      <alignment vertical="center"/>
      <protection locked="0"/>
    </xf>
    <xf numFmtId="166" fontId="16" fillId="0" borderId="1" xfId="1" applyNumberFormat="1" applyFont="1" applyFill="1" applyBorder="1" applyAlignment="1">
      <alignment vertical="center"/>
    </xf>
    <xf numFmtId="4" fontId="16" fillId="0" borderId="1" xfId="1" applyNumberFormat="1" applyFont="1" applyFill="1" applyBorder="1" applyAlignment="1">
      <alignment vertical="center"/>
    </xf>
    <xf numFmtId="3" fontId="16" fillId="0" borderId="1" xfId="1" applyNumberFormat="1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vertical="center"/>
    </xf>
    <xf numFmtId="0" fontId="16" fillId="0" borderId="0" xfId="1" applyNumberFormat="1" applyFont="1" applyFill="1" applyAlignment="1">
      <alignment vertical="center"/>
    </xf>
    <xf numFmtId="3" fontId="12" fillId="0" borderId="1" xfId="5" applyNumberFormat="1" applyFont="1" applyFill="1" applyBorder="1" applyAlignment="1" applyProtection="1">
      <alignment vertical="center"/>
      <protection locked="0"/>
    </xf>
    <xf numFmtId="0" fontId="1" fillId="0" borderId="2" xfId="1" applyNumberFormat="1" applyFont="1" applyFill="1" applyBorder="1" applyAlignment="1" applyProtection="1">
      <alignment horizontal="righ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1" fontId="1" fillId="0" borderId="2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166" fontId="1" fillId="0" borderId="2" xfId="3" applyNumberFormat="1" applyFont="1" applyFill="1" applyBorder="1" applyAlignment="1" applyProtection="1">
      <alignment horizontal="right" vertical="center"/>
      <protection locked="0"/>
    </xf>
    <xf numFmtId="166" fontId="1" fillId="0" borderId="2" xfId="3" applyNumberFormat="1" applyFont="1" applyFill="1" applyBorder="1" applyAlignment="1">
      <alignment horizontal="right" vertical="center"/>
    </xf>
    <xf numFmtId="3" fontId="1" fillId="0" borderId="2" xfId="1" applyNumberFormat="1" applyFont="1" applyFill="1" applyBorder="1" applyAlignment="1">
      <alignment horizontal="right" vertical="center"/>
    </xf>
    <xf numFmtId="166" fontId="1" fillId="0" borderId="2" xfId="1" applyNumberFormat="1" applyFont="1" applyFill="1" applyBorder="1" applyAlignment="1">
      <alignment horizontal="right" vertical="center"/>
    </xf>
    <xf numFmtId="166" fontId="1" fillId="0" borderId="2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right" vertical="center"/>
    </xf>
    <xf numFmtId="0" fontId="1" fillId="0" borderId="1" xfId="3" applyNumberFormat="1" applyFont="1" applyFill="1" applyBorder="1" applyAlignment="1" applyProtection="1">
      <alignment vertical="center"/>
      <protection locked="0"/>
    </xf>
    <xf numFmtId="3" fontId="12" fillId="0" borderId="1" xfId="3" applyNumberFormat="1" applyFont="1" applyFill="1" applyBorder="1" applyAlignment="1" applyProtection="1">
      <alignment horizontal="right" vertical="center"/>
      <protection locked="0"/>
    </xf>
    <xf numFmtId="3" fontId="6" fillId="0" borderId="1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3" applyNumberFormat="1" applyFont="1" applyFill="1" applyBorder="1" applyAlignment="1">
      <alignment vertical="center"/>
    </xf>
    <xf numFmtId="0" fontId="13" fillId="0" borderId="0" xfId="3" applyNumberFormat="1" applyFont="1" applyFill="1" applyBorder="1" applyAlignment="1" applyProtection="1">
      <alignment horizontal="left" vertical="center"/>
      <protection locked="0"/>
    </xf>
    <xf numFmtId="3" fontId="13" fillId="0" borderId="0" xfId="3" applyNumberFormat="1" applyFont="1" applyFill="1" applyBorder="1" applyAlignment="1">
      <alignment vertical="center"/>
    </xf>
    <xf numFmtId="3" fontId="12" fillId="0" borderId="0" xfId="3" applyNumberFormat="1" applyFont="1" applyFill="1" applyBorder="1" applyAlignment="1">
      <alignment vertical="center"/>
    </xf>
    <xf numFmtId="3" fontId="6" fillId="0" borderId="0" xfId="3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horizontal="left" vertical="center"/>
      <protection locked="0"/>
    </xf>
    <xf numFmtId="0" fontId="7" fillId="0" borderId="0" xfId="3" applyNumberFormat="1" applyFont="1" applyFill="1" applyBorder="1" applyAlignment="1">
      <alignment vertical="center"/>
    </xf>
    <xf numFmtId="0" fontId="7" fillId="0" borderId="0" xfId="3" applyNumberFormat="1" applyFont="1" applyFill="1" applyBorder="1" applyAlignment="1" applyProtection="1">
      <alignment horizontal="left" vertical="center"/>
      <protection locked="0"/>
    </xf>
    <xf numFmtId="3" fontId="7" fillId="0" borderId="0" xfId="3" applyNumberFormat="1" applyFont="1" applyFill="1" applyBorder="1" applyAlignment="1">
      <alignment vertical="center"/>
    </xf>
    <xf numFmtId="3" fontId="6" fillId="0" borderId="0" xfId="3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3" applyNumberFormat="1" applyFont="1" applyFill="1" applyBorder="1" applyAlignment="1">
      <alignment vertical="center"/>
    </xf>
    <xf numFmtId="0" fontId="1" fillId="0" borderId="0" xfId="3" applyNumberFormat="1" applyFont="1" applyFill="1" applyBorder="1" applyAlignment="1" applyProtection="1">
      <alignment horizontal="left" vertical="center"/>
      <protection locked="0"/>
    </xf>
    <xf numFmtId="3" fontId="1" fillId="0" borderId="0" xfId="3" applyNumberFormat="1" applyFont="1" applyFill="1" applyBorder="1" applyAlignment="1">
      <alignment vertical="center"/>
    </xf>
    <xf numFmtId="0" fontId="1" fillId="0" borderId="0" xfId="3" applyNumberFormat="1" applyFont="1" applyFill="1" applyBorder="1" applyAlignment="1" applyProtection="1">
      <alignment horizontal="center" vertical="center"/>
      <protection locked="0"/>
    </xf>
    <xf numFmtId="3" fontId="12" fillId="0" borderId="0" xfId="3" applyNumberFormat="1" applyFont="1" applyFill="1" applyBorder="1" applyAlignment="1">
      <alignment horizontal="right" vertical="center"/>
    </xf>
    <xf numFmtId="166" fontId="1" fillId="0" borderId="0" xfId="3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3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horizontal="right" vertical="center"/>
    </xf>
    <xf numFmtId="0" fontId="1" fillId="0" borderId="0" xfId="3" applyNumberFormat="1" applyFont="1" applyFill="1" applyAlignment="1" applyProtection="1">
      <alignment vertical="center"/>
      <protection locked="0"/>
    </xf>
    <xf numFmtId="0" fontId="1" fillId="0" borderId="0" xfId="3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0" fontId="12" fillId="0" borderId="0" xfId="3" applyNumberFormat="1" applyFont="1" applyFill="1" applyAlignment="1" applyProtection="1">
      <alignment vertical="center"/>
      <protection locked="0"/>
    </xf>
    <xf numFmtId="0" fontId="12" fillId="0" borderId="0" xfId="3" applyNumberFormat="1" applyFont="1" applyFill="1" applyAlignment="1">
      <alignment vertical="center"/>
    </xf>
    <xf numFmtId="167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167" fontId="11" fillId="0" borderId="11" xfId="0" applyNumberFormat="1" applyFont="1" applyFill="1" applyBorder="1" applyAlignment="1">
      <alignment vertical="center"/>
    </xf>
    <xf numFmtId="4" fontId="1" fillId="0" borderId="1" xfId="1" applyNumberFormat="1" applyFont="1" applyFill="1" applyBorder="1" applyAlignment="1">
      <alignment horizontal="right" vertical="center"/>
    </xf>
    <xf numFmtId="0" fontId="19" fillId="0" borderId="1" xfId="7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3" applyNumberFormat="1" applyFont="1" applyFill="1" applyBorder="1" applyAlignment="1">
      <alignment horizontal="right" vertical="center"/>
    </xf>
    <xf numFmtId="4" fontId="15" fillId="0" borderId="1" xfId="1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/>
    </xf>
    <xf numFmtId="0" fontId="20" fillId="0" borderId="1" xfId="1" applyNumberFormat="1" applyFont="1" applyFill="1" applyBorder="1" applyAlignment="1">
      <alignment horizontal="right" vertical="center"/>
    </xf>
    <xf numFmtId="4" fontId="1" fillId="0" borderId="2" xfId="1" applyNumberFormat="1" applyFont="1" applyFill="1" applyBorder="1" applyAlignment="1">
      <alignment horizontal="right" vertical="center"/>
    </xf>
    <xf numFmtId="166" fontId="1" fillId="0" borderId="0" xfId="0" applyNumberFormat="1" applyFont="1" applyFill="1" applyAlignment="1">
      <alignment vertical="center"/>
    </xf>
    <xf numFmtId="0" fontId="18" fillId="0" borderId="1" xfId="0" applyFont="1" applyFill="1" applyBorder="1" applyAlignment="1" applyProtection="1">
      <alignment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1" xfId="1" applyNumberFormat="1" applyFont="1" applyFill="1" applyBorder="1" applyAlignment="1" applyProtection="1">
      <alignment vertical="center"/>
      <protection locked="0" hidden="1"/>
    </xf>
    <xf numFmtId="3" fontId="18" fillId="0" borderId="1" xfId="0" applyNumberFormat="1" applyFont="1" applyFill="1" applyBorder="1" applyAlignment="1" applyProtection="1">
      <alignment vertical="center"/>
      <protection hidden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Alignment="1" applyProtection="1">
      <alignment horizontal="center" vertical="center"/>
      <protection hidden="1"/>
    </xf>
    <xf numFmtId="3" fontId="1" fillId="0" borderId="1" xfId="0" applyNumberFormat="1" applyFont="1" applyFill="1" applyBorder="1" applyAlignment="1" applyProtection="1">
      <alignment horizontal="center" vertical="center"/>
      <protection locked="0" hidden="1"/>
    </xf>
    <xf numFmtId="3" fontId="18" fillId="0" borderId="1" xfId="0" applyNumberFormat="1" applyFont="1" applyFill="1" applyBorder="1" applyAlignment="1" applyProtection="1">
      <alignment horizontal="center" vertical="center"/>
      <protection hidden="1"/>
    </xf>
    <xf numFmtId="1" fontId="18" fillId="0" borderId="1" xfId="0" applyNumberFormat="1" applyFont="1" applyFill="1" applyBorder="1" applyAlignment="1" applyProtection="1">
      <alignment horizontal="center" vertical="center"/>
      <protection hidden="1"/>
    </xf>
    <xf numFmtId="166" fontId="1" fillId="0" borderId="1" xfId="4" applyNumberFormat="1" applyFont="1" applyFill="1" applyBorder="1" applyAlignment="1" applyProtection="1">
      <alignment horizontal="right" vertical="center"/>
      <protection locked="0"/>
    </xf>
    <xf numFmtId="166" fontId="15" fillId="0" borderId="1" xfId="5" applyNumberFormat="1" applyFont="1" applyFill="1" applyBorder="1" applyAlignment="1" applyProtection="1">
      <alignment horizontal="right" vertical="center"/>
      <protection locked="0"/>
    </xf>
    <xf numFmtId="4" fontId="15" fillId="0" borderId="1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vertical="center"/>
    </xf>
    <xf numFmtId="3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4" fontId="12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/>
    </xf>
    <xf numFmtId="166" fontId="23" fillId="0" borderId="1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3" fontId="25" fillId="0" borderId="0" xfId="3" applyNumberFormat="1" applyFont="1" applyFill="1" applyBorder="1" applyAlignment="1">
      <alignment vertical="center"/>
    </xf>
    <xf numFmtId="3" fontId="26" fillId="0" borderId="0" xfId="3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3" fontId="16" fillId="3" borderId="1" xfId="1" applyNumberFormat="1" applyFont="1" applyFill="1" applyBorder="1" applyAlignment="1">
      <alignment vertical="center"/>
    </xf>
    <xf numFmtId="0" fontId="6" fillId="6" borderId="1" xfId="0" applyNumberFormat="1" applyFont="1" applyFill="1" applyBorder="1" applyAlignment="1">
      <alignment horizontal="center" vertical="center"/>
    </xf>
    <xf numFmtId="168" fontId="1" fillId="6" borderId="1" xfId="1" applyNumberFormat="1" applyFont="1" applyFill="1" applyBorder="1" applyAlignment="1" applyProtection="1">
      <alignment horizontal="right"/>
      <protection locked="0"/>
    </xf>
    <xf numFmtId="168" fontId="7" fillId="6" borderId="1" xfId="1" applyNumberFormat="1" applyFont="1" applyFill="1" applyBorder="1" applyAlignment="1" applyProtection="1">
      <alignment horizontal="right"/>
      <protection locked="0"/>
    </xf>
    <xf numFmtId="168" fontId="1" fillId="0" borderId="0" xfId="3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 applyFill="1" applyAlignment="1">
      <alignment vertical="center"/>
    </xf>
    <xf numFmtId="168" fontId="7" fillId="0" borderId="0" xfId="3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22" fillId="3" borderId="1" xfId="7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NumberFormat="1" applyFont="1" applyFill="1" applyBorder="1" applyAlignment="1">
      <alignment horizontal="center" vertical="center" textRotation="90" wrapText="1"/>
    </xf>
    <xf numFmtId="0" fontId="1" fillId="0" borderId="4" xfId="0" applyNumberFormat="1" applyFont="1" applyFill="1" applyBorder="1" applyAlignment="1">
      <alignment horizontal="center" vertical="center" textRotation="90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4" borderId="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" xfId="6" applyFont="1" applyFill="1" applyBorder="1" applyAlignment="1">
      <alignment horizontal="center" vertical="center" textRotation="90" wrapText="1"/>
    </xf>
    <xf numFmtId="0" fontId="1" fillId="0" borderId="3" xfId="6" applyFont="1" applyFill="1" applyBorder="1" applyAlignment="1">
      <alignment horizontal="center" vertical="center" textRotation="90" wrapText="1"/>
    </xf>
    <xf numFmtId="0" fontId="1" fillId="0" borderId="4" xfId="6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1" xfId="3" applyNumberFormat="1" applyFont="1" applyFill="1" applyBorder="1" applyAlignment="1">
      <alignment horizontal="center" vertical="center" wrapText="1"/>
    </xf>
    <xf numFmtId="0" fontId="1" fillId="0" borderId="15" xfId="3" applyNumberFormat="1" applyFont="1" applyFill="1" applyBorder="1" applyAlignment="1">
      <alignment horizontal="center" vertical="center" wrapText="1"/>
    </xf>
    <xf numFmtId="0" fontId="1" fillId="0" borderId="12" xfId="3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1" applyNumberFormat="1" applyFont="1" applyFill="1" applyBorder="1" applyAlignment="1">
      <alignment horizontal="center" vertical="center" textRotation="90"/>
    </xf>
    <xf numFmtId="0" fontId="1" fillId="0" borderId="3" xfId="1" applyNumberFormat="1" applyFont="1" applyFill="1" applyBorder="1" applyAlignment="1">
      <alignment horizontal="center" vertical="center" textRotation="90"/>
    </xf>
    <xf numFmtId="0" fontId="1" fillId="0" borderId="4" xfId="1" applyNumberFormat="1" applyFont="1" applyFill="1" applyBorder="1" applyAlignment="1">
      <alignment horizontal="center" vertical="center" textRotation="9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4" borderId="11" xfId="3" applyNumberFormat="1" applyFont="1" applyFill="1" applyBorder="1" applyAlignment="1">
      <alignment horizontal="center" vertical="center"/>
    </xf>
    <xf numFmtId="0" fontId="1" fillId="4" borderId="12" xfId="3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4" fillId="5" borderId="2" xfId="1" applyNumberFormat="1" applyFont="1" applyFill="1" applyBorder="1" applyAlignment="1">
      <alignment horizontal="center" vertical="center" textRotation="90" wrapText="1"/>
    </xf>
    <xf numFmtId="0" fontId="14" fillId="5" borderId="3" xfId="1" applyNumberFormat="1" applyFont="1" applyFill="1" applyBorder="1" applyAlignment="1">
      <alignment horizontal="center" vertical="center" textRotation="90" wrapText="1"/>
    </xf>
    <xf numFmtId="0" fontId="14" fillId="5" borderId="4" xfId="1" applyNumberFormat="1" applyFont="1" applyFill="1" applyBorder="1" applyAlignment="1">
      <alignment horizontal="center" vertical="center" textRotation="90" wrapText="1"/>
    </xf>
    <xf numFmtId="0" fontId="1" fillId="5" borderId="2" xfId="6" applyFont="1" applyFill="1" applyBorder="1" applyAlignment="1">
      <alignment horizontal="center" vertical="center" textRotation="90" wrapText="1"/>
    </xf>
    <xf numFmtId="0" fontId="1" fillId="5" borderId="3" xfId="6" applyFont="1" applyFill="1" applyBorder="1" applyAlignment="1">
      <alignment horizontal="center" vertical="center" textRotation="90" wrapText="1"/>
    </xf>
    <xf numFmtId="0" fontId="1" fillId="5" borderId="4" xfId="6" applyFont="1" applyFill="1" applyBorder="1" applyAlignment="1">
      <alignment horizontal="center" vertical="center" textRotation="90" wrapText="1"/>
    </xf>
    <xf numFmtId="0" fontId="7" fillId="0" borderId="8" xfId="7" applyFont="1" applyFill="1" applyBorder="1" applyAlignment="1">
      <alignment horizontal="center" vertical="center" wrapText="1"/>
    </xf>
    <xf numFmtId="0" fontId="7" fillId="0" borderId="10" xfId="7" applyFont="1" applyFill="1" applyBorder="1" applyAlignment="1">
      <alignment horizontal="center" vertical="center" wrapText="1"/>
    </xf>
    <xf numFmtId="0" fontId="7" fillId="0" borderId="13" xfId="7" applyFont="1" applyFill="1" applyBorder="1" applyAlignment="1">
      <alignment horizontal="center" vertical="center" wrapText="1"/>
    </xf>
    <xf numFmtId="0" fontId="7" fillId="0" borderId="14" xfId="7" applyFont="1" applyFill="1" applyBorder="1" applyAlignment="1">
      <alignment horizontal="center" vertical="center" wrapText="1"/>
    </xf>
    <xf numFmtId="0" fontId="7" fillId="0" borderId="5" xfId="7" applyFont="1" applyFill="1" applyBorder="1" applyAlignment="1">
      <alignment horizontal="center" vertical="center" wrapText="1"/>
    </xf>
    <xf numFmtId="0" fontId="7" fillId="0" borderId="7" xfId="7" applyFont="1" applyFill="1" applyBorder="1" applyAlignment="1">
      <alignment horizontal="center" vertical="center" wrapText="1"/>
    </xf>
    <xf numFmtId="164" fontId="29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horizontal="centerContinuous" vertical="center"/>
    </xf>
    <xf numFmtId="0" fontId="18" fillId="0" borderId="0" xfId="3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vertical="center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 applyProtection="1">
      <alignment horizontal="center" vertical="center" textRotation="90" wrapText="1"/>
      <protection locked="0"/>
    </xf>
    <xf numFmtId="164" fontId="18" fillId="0" borderId="11" xfId="3" applyNumberFormat="1" applyFont="1" applyFill="1" applyBorder="1" applyAlignment="1" applyProtection="1">
      <alignment horizontal="center" vertical="center" wrapText="1"/>
      <protection locked="0"/>
    </xf>
    <xf numFmtId="164" fontId="18" fillId="0" borderId="15" xfId="3" applyNumberFormat="1" applyFont="1" applyFill="1" applyBorder="1" applyAlignment="1" applyProtection="1">
      <alignment horizontal="center" vertical="center" wrapText="1"/>
      <protection locked="0"/>
    </xf>
    <xf numFmtId="164" fontId="18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3" applyNumberFormat="1" applyFont="1" applyFill="1" applyBorder="1" applyAlignment="1">
      <alignment horizontal="center" vertical="center" wrapText="1"/>
    </xf>
    <xf numFmtId="0" fontId="18" fillId="0" borderId="15" xfId="3" applyNumberFormat="1" applyFont="1" applyFill="1" applyBorder="1" applyAlignment="1">
      <alignment horizontal="center" vertical="center" wrapText="1"/>
    </xf>
    <xf numFmtId="0" fontId="18" fillId="0" borderId="12" xfId="3" applyNumberFormat="1" applyFont="1" applyFill="1" applyBorder="1" applyAlignment="1">
      <alignment horizontal="center" vertical="center" wrapText="1"/>
    </xf>
    <xf numFmtId="0" fontId="18" fillId="0" borderId="2" xfId="6" applyFont="1" applyFill="1" applyBorder="1" applyAlignment="1">
      <alignment horizontal="center" vertical="center" textRotation="90" wrapText="1"/>
    </xf>
    <xf numFmtId="0" fontId="18" fillId="0" borderId="2" xfId="0" applyNumberFormat="1" applyFont="1" applyFill="1" applyBorder="1" applyAlignment="1">
      <alignment horizontal="center" vertical="center" textRotation="90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7" fillId="0" borderId="8" xfId="7" applyFont="1" applyFill="1" applyBorder="1" applyAlignment="1">
      <alignment horizontal="center" vertical="center" wrapText="1"/>
    </xf>
    <xf numFmtId="0" fontId="17" fillId="0" borderId="10" xfId="7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textRotation="90" wrapText="1"/>
    </xf>
    <xf numFmtId="0" fontId="18" fillId="0" borderId="1" xfId="3" applyNumberFormat="1" applyFont="1" applyFill="1" applyBorder="1" applyAlignment="1">
      <alignment horizontal="center" vertical="center" wrapText="1"/>
    </xf>
    <xf numFmtId="0" fontId="18" fillId="0" borderId="3" xfId="6" applyFont="1" applyFill="1" applyBorder="1" applyAlignment="1">
      <alignment horizontal="center" vertical="center" textRotation="90" wrapText="1"/>
    </xf>
    <xf numFmtId="0" fontId="18" fillId="0" borderId="3" xfId="0" applyNumberFormat="1" applyFont="1" applyFill="1" applyBorder="1" applyAlignment="1">
      <alignment horizontal="center" vertical="center" textRotation="90" wrapText="1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textRotation="90" wrapText="1"/>
    </xf>
    <xf numFmtId="0" fontId="17" fillId="0" borderId="13" xfId="7" applyFont="1" applyFill="1" applyBorder="1" applyAlignment="1">
      <alignment horizontal="center" vertical="center" wrapText="1"/>
    </xf>
    <xf numFmtId="0" fontId="17" fillId="0" borderId="14" xfId="7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164" fontId="1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7" fillId="0" borderId="5" xfId="7" applyFont="1" applyFill="1" applyBorder="1" applyAlignment="1">
      <alignment horizontal="center" vertical="center" wrapText="1"/>
    </xf>
    <xf numFmtId="0" fontId="17" fillId="0" borderId="7" xfId="7" applyFont="1" applyFill="1" applyBorder="1" applyAlignment="1">
      <alignment horizontal="center" vertical="center" wrapText="1"/>
    </xf>
    <xf numFmtId="164" fontId="18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64" fontId="1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6" applyFont="1" applyFill="1" applyBorder="1" applyAlignment="1">
      <alignment horizontal="center" vertical="center" textRotation="90" wrapText="1"/>
    </xf>
    <xf numFmtId="0" fontId="18" fillId="0" borderId="4" xfId="0" applyNumberFormat="1" applyFont="1" applyFill="1" applyBorder="1" applyAlignment="1">
      <alignment horizontal="center" vertical="center" textRotation="90" wrapText="1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vertical="center"/>
    </xf>
    <xf numFmtId="0" fontId="18" fillId="0" borderId="1" xfId="7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8" fillId="0" borderId="1" xfId="1" applyNumberFormat="1" applyFont="1" applyFill="1" applyBorder="1" applyAlignment="1" applyProtection="1">
      <alignment horizontal="right" vertical="center"/>
      <protection locked="0"/>
    </xf>
    <xf numFmtId="0" fontId="18" fillId="0" borderId="1" xfId="0" applyNumberFormat="1" applyFont="1" applyFill="1" applyBorder="1" applyAlignment="1" applyProtection="1">
      <alignment horizontal="left" vertical="center"/>
      <protection locked="0"/>
    </xf>
    <xf numFmtId="1" fontId="18" fillId="0" borderId="1" xfId="0" applyNumberFormat="1" applyFont="1" applyFill="1" applyBorder="1" applyAlignment="1">
      <alignment horizontal="right" vertical="center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vertical="center"/>
    </xf>
    <xf numFmtId="0" fontId="18" fillId="0" borderId="1" xfId="1" applyNumberFormat="1" applyFont="1" applyFill="1" applyBorder="1" applyAlignment="1" applyProtection="1">
      <alignment horizontal="right"/>
      <protection locked="0"/>
    </xf>
    <xf numFmtId="4" fontId="18" fillId="0" borderId="1" xfId="3" applyNumberFormat="1" applyFont="1" applyFill="1" applyBorder="1" applyAlignment="1" applyProtection="1">
      <alignment horizontal="right" vertical="center"/>
      <protection locked="0"/>
    </xf>
    <xf numFmtId="166" fontId="18" fillId="0" borderId="1" xfId="3" applyNumberFormat="1" applyFont="1" applyFill="1" applyBorder="1" applyAlignment="1" applyProtection="1">
      <alignment horizontal="right" vertical="center"/>
      <protection locked="0"/>
    </xf>
    <xf numFmtId="166" fontId="18" fillId="0" borderId="1" xfId="1" applyNumberFormat="1" applyFont="1" applyFill="1" applyBorder="1" applyAlignment="1" applyProtection="1">
      <alignment horizontal="right"/>
      <protection locked="0"/>
    </xf>
    <xf numFmtId="3" fontId="18" fillId="0" borderId="1" xfId="3" applyNumberFormat="1" applyFont="1" applyFill="1" applyBorder="1" applyAlignment="1">
      <alignment horizontal="right" vertical="center"/>
    </xf>
    <xf numFmtId="3" fontId="18" fillId="0" borderId="1" xfId="1" applyNumberFormat="1" applyFont="1" applyFill="1" applyBorder="1" applyAlignment="1">
      <alignment horizontal="right" vertical="center"/>
    </xf>
    <xf numFmtId="4" fontId="18" fillId="0" borderId="1" xfId="1" applyNumberFormat="1" applyFont="1" applyFill="1" applyBorder="1" applyAlignment="1">
      <alignment horizontal="right" vertical="center"/>
    </xf>
    <xf numFmtId="166" fontId="18" fillId="0" borderId="1" xfId="1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166" fontId="18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Alignment="1">
      <alignment vertical="center"/>
    </xf>
    <xf numFmtId="3" fontId="18" fillId="0" borderId="0" xfId="1" applyNumberFormat="1" applyFont="1" applyFill="1" applyAlignment="1">
      <alignment horizontal="right" vertical="center"/>
    </xf>
    <xf numFmtId="3" fontId="18" fillId="0" borderId="0" xfId="1" applyNumberFormat="1" applyFont="1" applyFill="1" applyAlignment="1">
      <alignment vertical="center"/>
    </xf>
    <xf numFmtId="0" fontId="18" fillId="0" borderId="1" xfId="1" applyNumberFormat="1" applyFont="1" applyFill="1" applyBorder="1" applyAlignment="1">
      <alignment vertical="center"/>
    </xf>
    <xf numFmtId="0" fontId="18" fillId="0" borderId="1" xfId="1" applyNumberFormat="1" applyFont="1" applyFill="1" applyBorder="1" applyAlignment="1">
      <alignment horizontal="right" vertical="center"/>
    </xf>
    <xf numFmtId="167" fontId="31" fillId="0" borderId="11" xfId="0" applyNumberFormat="1" applyFont="1" applyFill="1" applyBorder="1" applyAlignment="1">
      <alignment vertical="center"/>
    </xf>
    <xf numFmtId="3" fontId="18" fillId="0" borderId="1" xfId="1" applyNumberFormat="1" applyFont="1" applyFill="1" applyBorder="1" applyAlignment="1" applyProtection="1">
      <alignment vertical="center"/>
      <protection locked="0" hidden="1"/>
    </xf>
    <xf numFmtId="0" fontId="18" fillId="0" borderId="0" xfId="1" applyNumberFormat="1" applyFont="1" applyFill="1" applyAlignment="1">
      <alignment vertical="center"/>
    </xf>
    <xf numFmtId="0" fontId="18" fillId="0" borderId="1" xfId="0" applyNumberFormat="1" applyFont="1" applyFill="1" applyBorder="1" applyAlignment="1" applyProtection="1">
      <alignment horizontal="right"/>
      <protection locked="0"/>
    </xf>
    <xf numFmtId="3" fontId="18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1" xfId="0" applyNumberFormat="1" applyFont="1" applyFill="1" applyBorder="1" applyAlignment="1">
      <alignment horizontal="right"/>
    </xf>
    <xf numFmtId="3" fontId="18" fillId="0" borderId="1" xfId="3" applyNumberFormat="1" applyFont="1" applyFill="1" applyBorder="1" applyAlignment="1" applyProtection="1">
      <alignment horizontal="right" vertical="center"/>
      <protection locked="0"/>
    </xf>
    <xf numFmtId="0" fontId="18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18" fillId="0" borderId="1" xfId="3" applyNumberFormat="1" applyFont="1" applyFill="1" applyBorder="1" applyAlignment="1">
      <alignment horizontal="right" vertical="center"/>
    </xf>
    <xf numFmtId="166" fontId="18" fillId="0" borderId="1" xfId="4" applyNumberFormat="1" applyFont="1" applyFill="1" applyBorder="1" applyAlignment="1" applyProtection="1">
      <alignment horizontal="right" vertical="center"/>
      <protection locked="0"/>
    </xf>
    <xf numFmtId="0" fontId="18" fillId="0" borderId="1" xfId="1" applyNumberFormat="1" applyFont="1" applyFill="1" applyBorder="1" applyAlignment="1" applyProtection="1">
      <alignment horizontal="left" vertical="center"/>
      <protection locked="0"/>
    </xf>
    <xf numFmtId="1" fontId="18" fillId="0" borderId="1" xfId="1" applyNumberFormat="1" applyFont="1" applyFill="1" applyBorder="1" applyAlignment="1">
      <alignment horizontal="right" vertical="center"/>
    </xf>
    <xf numFmtId="0" fontId="18" fillId="0" borderId="1" xfId="1" applyNumberFormat="1" applyFont="1" applyFill="1" applyBorder="1" applyAlignment="1" applyProtection="1">
      <alignment horizontal="center" vertical="center"/>
      <protection locked="0"/>
    </xf>
    <xf numFmtId="0" fontId="18" fillId="0" borderId="1" xfId="6" applyFont="1" applyFill="1" applyBorder="1" applyAlignment="1">
      <alignment vertical="center"/>
    </xf>
    <xf numFmtId="4" fontId="18" fillId="0" borderId="1" xfId="5" applyNumberFormat="1" applyFont="1" applyFill="1" applyBorder="1" applyAlignment="1" applyProtection="1">
      <alignment horizontal="right" vertical="center"/>
      <protection locked="0"/>
    </xf>
    <xf numFmtId="166" fontId="18" fillId="0" borderId="1" xfId="5" applyNumberFormat="1" applyFont="1" applyFill="1" applyBorder="1" applyAlignment="1" applyProtection="1">
      <alignment horizontal="right" vertical="center"/>
      <protection locked="0"/>
    </xf>
    <xf numFmtId="3" fontId="18" fillId="0" borderId="1" xfId="5" applyNumberFormat="1" applyFont="1" applyFill="1" applyBorder="1" applyAlignment="1">
      <alignment horizontal="right" vertical="center"/>
    </xf>
    <xf numFmtId="3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>
      <alignment vertical="center"/>
    </xf>
    <xf numFmtId="3" fontId="18" fillId="0" borderId="1" xfId="1" applyNumberFormat="1" applyFont="1" applyFill="1" applyBorder="1" applyAlignment="1">
      <alignment vertical="center"/>
    </xf>
    <xf numFmtId="3" fontId="18" fillId="0" borderId="1" xfId="1" applyNumberFormat="1" applyFont="1" applyFill="1" applyBorder="1" applyAlignment="1" applyProtection="1">
      <alignment horizontal="center" vertical="center"/>
      <protection locked="0"/>
    </xf>
    <xf numFmtId="4" fontId="18" fillId="0" borderId="1" xfId="5" applyNumberFormat="1" applyFont="1" applyFill="1" applyBorder="1" applyAlignment="1">
      <alignment vertical="center"/>
    </xf>
    <xf numFmtId="3" fontId="18" fillId="0" borderId="1" xfId="5" applyNumberFormat="1" applyFont="1" applyFill="1" applyBorder="1" applyAlignment="1">
      <alignment vertical="center"/>
    </xf>
    <xf numFmtId="166" fontId="18" fillId="0" borderId="1" xfId="1" applyNumberFormat="1" applyFont="1" applyFill="1" applyBorder="1" applyAlignment="1">
      <alignment vertical="center"/>
    </xf>
    <xf numFmtId="4" fontId="18" fillId="0" borderId="1" xfId="5" applyNumberFormat="1" applyFont="1" applyFill="1" applyBorder="1" applyAlignment="1" applyProtection="1">
      <alignment vertical="center"/>
      <protection locked="0"/>
    </xf>
    <xf numFmtId="4" fontId="18" fillId="0" borderId="1" xfId="1" applyNumberFormat="1" applyFont="1" applyFill="1" applyBorder="1" applyAlignment="1">
      <alignment vertical="center"/>
    </xf>
    <xf numFmtId="3" fontId="18" fillId="0" borderId="1" xfId="1" applyNumberFormat="1" applyFont="1" applyFill="1" applyBorder="1" applyAlignment="1">
      <alignment horizontal="center" vertical="center"/>
    </xf>
    <xf numFmtId="3" fontId="18" fillId="0" borderId="1" xfId="5" applyNumberFormat="1" applyFont="1" applyFill="1" applyBorder="1" applyAlignment="1" applyProtection="1">
      <alignment vertical="center"/>
      <protection locked="0"/>
    </xf>
    <xf numFmtId="0" fontId="18" fillId="0" borderId="2" xfId="1" applyNumberFormat="1" applyFont="1" applyFill="1" applyBorder="1" applyAlignment="1" applyProtection="1">
      <alignment horizontal="right" vertical="center"/>
      <protection locked="0"/>
    </xf>
    <xf numFmtId="0" fontId="18" fillId="0" borderId="2" xfId="0" applyNumberFormat="1" applyFont="1" applyFill="1" applyBorder="1" applyAlignment="1" applyProtection="1">
      <alignment horizontal="left" vertical="center"/>
      <protection locked="0"/>
    </xf>
    <xf numFmtId="1" fontId="18" fillId="0" borderId="2" xfId="0" applyNumberFormat="1" applyFont="1" applyFill="1" applyBorder="1" applyAlignment="1">
      <alignment horizontal="right" vertical="center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Fill="1" applyBorder="1" applyAlignment="1">
      <alignment horizontal="right" vertical="center"/>
    </xf>
    <xf numFmtId="3" fontId="18" fillId="0" borderId="2" xfId="0" applyNumberFormat="1" applyFont="1" applyFill="1" applyBorder="1" applyAlignment="1">
      <alignment horizontal="right" vertical="center"/>
    </xf>
    <xf numFmtId="166" fontId="18" fillId="0" borderId="2" xfId="3" applyNumberFormat="1" applyFont="1" applyFill="1" applyBorder="1" applyAlignment="1" applyProtection="1">
      <alignment horizontal="right" vertical="center"/>
      <protection locked="0"/>
    </xf>
    <xf numFmtId="166" fontId="18" fillId="0" borderId="2" xfId="3" applyNumberFormat="1" applyFont="1" applyFill="1" applyBorder="1" applyAlignment="1">
      <alignment horizontal="right" vertical="center"/>
    </xf>
    <xf numFmtId="3" fontId="18" fillId="0" borderId="2" xfId="1" applyNumberFormat="1" applyFont="1" applyFill="1" applyBorder="1" applyAlignment="1">
      <alignment horizontal="right" vertical="center"/>
    </xf>
    <xf numFmtId="4" fontId="18" fillId="0" borderId="2" xfId="1" applyNumberFormat="1" applyFont="1" applyFill="1" applyBorder="1" applyAlignment="1">
      <alignment horizontal="right" vertical="center"/>
    </xf>
    <xf numFmtId="166" fontId="18" fillId="0" borderId="2" xfId="1" applyNumberFormat="1" applyFont="1" applyFill="1" applyBorder="1" applyAlignment="1">
      <alignment horizontal="right" vertical="center"/>
    </xf>
    <xf numFmtId="166" fontId="18" fillId="0" borderId="2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3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vertical="center"/>
    </xf>
    <xf numFmtId="166" fontId="18" fillId="0" borderId="1" xfId="3" applyNumberFormat="1" applyFont="1" applyFill="1" applyBorder="1" applyAlignment="1">
      <alignment horizontal="right" vertical="center"/>
    </xf>
    <xf numFmtId="0" fontId="18" fillId="0" borderId="1" xfId="3" applyNumberFormat="1" applyFont="1" applyFill="1" applyBorder="1" applyAlignment="1" applyProtection="1">
      <alignment vertical="center"/>
      <protection locked="0"/>
    </xf>
    <xf numFmtId="0" fontId="17" fillId="0" borderId="1" xfId="0" applyNumberFormat="1" applyFont="1" applyFill="1" applyBorder="1" applyAlignment="1">
      <alignment vertical="center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3" fontId="17" fillId="0" borderId="1" xfId="0" applyNumberFormat="1" applyFont="1" applyFill="1" applyBorder="1" applyAlignment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4" fontId="17" fillId="0" borderId="1" xfId="0" applyNumberFormat="1" applyFont="1" applyFill="1" applyBorder="1" applyAlignment="1">
      <alignment vertical="center"/>
    </xf>
    <xf numFmtId="166" fontId="17" fillId="0" borderId="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167" fontId="38" fillId="0" borderId="11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3" applyNumberFormat="1" applyFont="1" applyFill="1" applyBorder="1" applyAlignment="1">
      <alignment vertical="center"/>
    </xf>
    <xf numFmtId="0" fontId="18" fillId="0" borderId="0" xfId="3" applyNumberFormat="1" applyFont="1" applyFill="1" applyBorder="1" applyAlignment="1" applyProtection="1">
      <alignment horizontal="left" vertical="center"/>
      <protection locked="0"/>
    </xf>
    <xf numFmtId="3" fontId="18" fillId="0" borderId="0" xfId="3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2" applyNumberFormat="1" applyFont="1" applyFill="1" applyBorder="1" applyAlignment="1" applyProtection="1">
      <alignment horizontal="left" vertical="center"/>
      <protection locked="0"/>
    </xf>
    <xf numFmtId="0" fontId="17" fillId="0" borderId="0" xfId="3" applyNumberFormat="1" applyFont="1" applyFill="1" applyBorder="1" applyAlignment="1">
      <alignment vertical="center"/>
    </xf>
    <xf numFmtId="0" fontId="17" fillId="0" borderId="0" xfId="3" applyNumberFormat="1" applyFont="1" applyFill="1" applyBorder="1" applyAlignment="1" applyProtection="1">
      <alignment horizontal="left" vertical="center"/>
      <protection locked="0"/>
    </xf>
    <xf numFmtId="3" fontId="17" fillId="0" borderId="0" xfId="3" applyNumberFormat="1" applyFont="1" applyFill="1" applyBorder="1" applyAlignment="1">
      <alignment vertical="center"/>
    </xf>
    <xf numFmtId="3" fontId="38" fillId="0" borderId="0" xfId="3" applyNumberFormat="1" applyFont="1" applyFill="1" applyBorder="1" applyAlignment="1">
      <alignment vertical="center"/>
    </xf>
    <xf numFmtId="3" fontId="17" fillId="0" borderId="0" xfId="3" applyNumberFormat="1" applyFont="1" applyFill="1" applyBorder="1" applyAlignment="1">
      <alignment horizontal="right" vertical="center"/>
    </xf>
    <xf numFmtId="167" fontId="3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3" applyNumberFormat="1" applyFont="1" applyFill="1" applyBorder="1" applyAlignment="1" applyProtection="1">
      <alignment horizontal="right" vertical="center"/>
      <protection locked="0"/>
    </xf>
    <xf numFmtId="0" fontId="18" fillId="0" borderId="0" xfId="3" applyNumberFormat="1" applyFont="1" applyFill="1" applyBorder="1" applyAlignment="1" applyProtection="1">
      <alignment horizontal="center" vertical="center"/>
      <protection locked="0"/>
    </xf>
    <xf numFmtId="3" fontId="31" fillId="0" borderId="0" xfId="3" applyNumberFormat="1" applyFont="1" applyFill="1" applyBorder="1" applyAlignment="1">
      <alignment vertical="center"/>
    </xf>
    <xf numFmtId="3" fontId="18" fillId="0" borderId="0" xfId="3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vertical="center"/>
    </xf>
    <xf numFmtId="166" fontId="18" fillId="0" borderId="0" xfId="3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right" vertical="center"/>
    </xf>
    <xf numFmtId="166" fontId="18" fillId="0" borderId="0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166" fontId="18" fillId="0" borderId="0" xfId="0" applyNumberFormat="1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3" fontId="31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horizontal="right" vertical="center"/>
    </xf>
    <xf numFmtId="167" fontId="31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8" fillId="0" borderId="0" xfId="0" applyNumberFormat="1" applyFont="1" applyFill="1" applyAlignment="1">
      <alignment horizontal="right" vertical="center"/>
    </xf>
    <xf numFmtId="0" fontId="18" fillId="0" borderId="0" xfId="3" applyNumberFormat="1" applyFont="1" applyFill="1" applyAlignment="1" applyProtection="1">
      <alignment vertical="center"/>
      <protection locked="0"/>
    </xf>
    <xf numFmtId="0" fontId="18" fillId="0" borderId="0" xfId="3" applyNumberFormat="1" applyFont="1" applyFill="1" applyAlignment="1">
      <alignment vertical="center"/>
    </xf>
    <xf numFmtId="167" fontId="18" fillId="0" borderId="0" xfId="0" applyNumberFormat="1" applyFont="1" applyFill="1" applyAlignment="1">
      <alignment vertical="center"/>
    </xf>
    <xf numFmtId="0" fontId="32" fillId="0" borderId="1" xfId="7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34" fillId="0" borderId="2" xfId="1" applyNumberFormat="1" applyFont="1" applyFill="1" applyBorder="1" applyAlignment="1">
      <alignment horizontal="center" vertical="center" textRotation="90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8" fillId="0" borderId="11" xfId="3" applyNumberFormat="1" applyFont="1" applyFill="1" applyBorder="1" applyAlignment="1">
      <alignment horizontal="center" vertical="center"/>
    </xf>
    <xf numFmtId="0" fontId="18" fillId="0" borderId="12" xfId="3" applyNumberFormat="1" applyFont="1" applyFill="1" applyBorder="1" applyAlignment="1">
      <alignment horizontal="center" vertical="center"/>
    </xf>
    <xf numFmtId="0" fontId="34" fillId="0" borderId="3" xfId="1" applyNumberFormat="1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wrapText="1"/>
    </xf>
    <xf numFmtId="0" fontId="34" fillId="0" borderId="4" xfId="1" applyNumberFormat="1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textRotation="90" wrapText="1"/>
    </xf>
  </cellXfs>
  <cellStyles count="8">
    <cellStyle name="Обычный" xfId="0" builtinId="0"/>
    <cellStyle name="Обычный_XGF98" xfId="6"/>
    <cellStyle name="Обычный_ДГТ-Юля" xfId="1"/>
    <cellStyle name="Обычный_хар ООО К-н 2001г" xfId="7"/>
    <cellStyle name="Обычный_Характеристика РЭУ-8" xfId="2"/>
    <cellStyle name="Финансовый" xfId="3" builtinId="3"/>
    <cellStyle name="Финансовый [0]" xfId="4" builtinId="6"/>
    <cellStyle name="Финансовый_ДГТ-Юля" xf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19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O276" sqref="O276"/>
    </sheetView>
  </sheetViews>
  <sheetFormatPr defaultColWidth="9.1640625" defaultRowHeight="12.75" outlineLevelRow="1" outlineLevelCol="1"/>
  <cols>
    <col min="1" max="1" width="11.33203125" style="31" hidden="1" customWidth="1" outlineLevel="1"/>
    <col min="2" max="2" width="5.1640625" style="302" bestFit="1" customWidth="1" collapsed="1"/>
    <col min="3" max="3" width="34.1640625" style="298" customWidth="1"/>
    <col min="4" max="4" width="6.5" style="298" customWidth="1"/>
    <col min="5" max="5" width="8.33203125" style="298" hidden="1" customWidth="1" outlineLevel="1"/>
    <col min="6" max="6" width="11.6640625" style="298" customWidth="1" collapsed="1"/>
    <col min="7" max="7" width="5" style="298" customWidth="1"/>
    <col min="8" max="9" width="7" style="302" customWidth="1"/>
    <col min="10" max="10" width="11.5" style="298" hidden="1" customWidth="1" outlineLevel="1"/>
    <col min="11" max="11" width="10.1640625" style="298" hidden="1" customWidth="1" outlineLevel="1"/>
    <col min="12" max="12" width="10.33203125" style="298" hidden="1" customWidth="1" outlineLevel="1"/>
    <col min="13" max="13" width="8.83203125" style="298" hidden="1" customWidth="1" outlineLevel="1"/>
    <col min="14" max="14" width="8.33203125" style="298" customWidth="1" collapsed="1"/>
    <col min="15" max="15" width="8.33203125" style="298" customWidth="1"/>
    <col min="16" max="16" width="8.83203125" style="298" customWidth="1" outlineLevel="1"/>
    <col min="17" max="17" width="9.1640625" style="298" customWidth="1" outlineLevel="1"/>
    <col min="18" max="19" width="11.6640625" style="478" customWidth="1"/>
    <col min="20" max="20" width="10.1640625" style="298" customWidth="1" outlineLevel="1"/>
    <col min="21" max="23" width="7.83203125" style="298" customWidth="1" outlineLevel="1"/>
    <col min="24" max="24" width="8.83203125" style="298" customWidth="1" outlineLevel="1"/>
    <col min="25" max="25" width="9.1640625" style="298" customWidth="1" outlineLevel="1"/>
    <col min="26" max="28" width="7.83203125" style="298" customWidth="1" outlineLevel="1"/>
    <col min="29" max="29" width="13.33203125" style="298" customWidth="1"/>
    <col min="30" max="30" width="10.1640625" style="478" customWidth="1"/>
    <col min="31" max="31" width="10.33203125" style="298" customWidth="1"/>
    <col min="32" max="32" width="10" style="298" customWidth="1"/>
    <col min="33" max="34" width="11.83203125" style="298" customWidth="1"/>
    <col min="35" max="35" width="12.83203125" style="298" customWidth="1"/>
    <col min="36" max="36" width="4.1640625" style="298" customWidth="1" outlineLevel="1"/>
    <col min="37" max="37" width="4.83203125" style="298" customWidth="1" outlineLevel="1"/>
    <col min="38" max="41" width="7" style="298" customWidth="1" outlineLevel="1"/>
    <col min="42" max="42" width="9.5" style="298" customWidth="1" outlineLevel="1"/>
    <col min="43" max="44" width="8.33203125" style="298" customWidth="1" outlineLevel="1"/>
    <col min="45" max="45" width="8.33203125" style="302" customWidth="1" outlineLevel="1"/>
    <col min="46" max="46" width="10" style="298" customWidth="1" outlineLevel="1"/>
    <col min="47" max="49" width="11.83203125" style="298" customWidth="1" outlineLevel="1"/>
    <col min="50" max="50" width="10" style="298" customWidth="1" outlineLevel="1"/>
    <col min="51" max="51" width="8.33203125" style="298" customWidth="1" outlineLevel="1"/>
    <col min="52" max="52" width="10.6640625" style="298" customWidth="1" outlineLevel="1"/>
    <col min="53" max="53" width="8.1640625" style="298" customWidth="1" outlineLevel="1"/>
    <col min="54" max="54" width="7.6640625" style="298" customWidth="1" outlineLevel="1"/>
    <col min="55" max="55" width="7.33203125" style="298" customWidth="1" outlineLevel="1"/>
    <col min="56" max="56" width="8.5" style="298" customWidth="1" outlineLevel="1"/>
    <col min="57" max="57" width="10" style="298" customWidth="1" outlineLevel="1"/>
    <col min="58" max="58" width="7" style="298" customWidth="1" outlineLevel="1"/>
    <col min="59" max="59" width="10.1640625" style="298" customWidth="1" outlineLevel="1"/>
    <col min="60" max="60" width="11" style="298" customWidth="1" outlineLevel="1"/>
    <col min="61" max="61" width="10.6640625" style="298" customWidth="1" outlineLevel="1"/>
    <col min="62" max="62" width="5.1640625" style="298" customWidth="1"/>
    <col min="63" max="63" width="10.5" style="298" customWidth="1"/>
    <col min="64" max="64" width="9.1640625" style="298" customWidth="1"/>
    <col min="65" max="65" width="4.6640625" style="298" customWidth="1"/>
    <col min="66" max="66" width="11.1640625" style="298" customWidth="1"/>
    <col min="67" max="67" width="9.1640625" style="298" customWidth="1"/>
    <col min="68" max="68" width="5.6640625" style="298" customWidth="1"/>
    <col min="69" max="70" width="9.1640625" style="298" customWidth="1"/>
    <col min="71" max="72" width="9" style="298" customWidth="1" outlineLevel="1"/>
    <col min="73" max="73" width="10.33203125" style="298" customWidth="1" outlineLevel="1"/>
    <col min="74" max="74" width="11.5" style="298" customWidth="1" outlineLevel="1"/>
    <col min="75" max="75" width="7.6640625" style="298" customWidth="1" outlineLevel="1"/>
    <col min="76" max="76" width="9.83203125" style="298" customWidth="1" outlineLevel="1"/>
    <col min="77" max="78" width="13" style="298" customWidth="1" outlineLevel="1"/>
    <col min="79" max="80" width="11.1640625" style="298" customWidth="1"/>
    <col min="81" max="81" width="9.1640625" style="298" customWidth="1"/>
    <col min="82" max="82" width="9.83203125" style="298" customWidth="1"/>
    <col min="83" max="83" width="6.83203125" style="298" customWidth="1"/>
    <col min="84" max="84" width="9.83203125" style="298" customWidth="1"/>
    <col min="85" max="85" width="8.33203125" style="298" customWidth="1"/>
    <col min="86" max="86" width="9.83203125" style="298" customWidth="1"/>
    <col min="87" max="88" width="9.1640625" style="298" customWidth="1"/>
    <col min="89" max="89" width="10.33203125" style="298" customWidth="1"/>
    <col min="90" max="92" width="11.5" style="303" customWidth="1"/>
    <col min="93" max="93" width="13.83203125" style="303" customWidth="1"/>
    <col min="94" max="121" width="6.6640625" style="298" customWidth="1"/>
    <col min="122" max="122" width="4.5" style="298" customWidth="1"/>
    <col min="123" max="16384" width="9.1640625" style="31"/>
  </cols>
  <sheetData>
    <row r="1" spans="1:122" ht="15.75">
      <c r="B1" s="296"/>
      <c r="C1" s="297" t="s">
        <v>175</v>
      </c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9"/>
      <c r="P1" s="299"/>
      <c r="Q1" s="299"/>
      <c r="R1" s="300"/>
      <c r="S1" s="300"/>
      <c r="T1" s="299"/>
      <c r="U1" s="299"/>
      <c r="V1" s="296"/>
      <c r="W1" s="301"/>
      <c r="X1" s="301"/>
      <c r="Y1" s="301"/>
      <c r="Z1" s="301"/>
      <c r="AA1" s="301"/>
      <c r="AB1" s="301"/>
      <c r="AD1" s="300"/>
      <c r="AE1" s="299"/>
      <c r="AF1" s="299"/>
      <c r="AG1" s="299"/>
      <c r="AH1" s="299"/>
      <c r="AI1" s="301"/>
      <c r="AJ1" s="299"/>
      <c r="AK1" s="299"/>
      <c r="AL1" s="299"/>
      <c r="AM1" s="299"/>
      <c r="AN1" s="299"/>
      <c r="CP1" s="480" t="s">
        <v>177</v>
      </c>
      <c r="CQ1" s="480"/>
      <c r="CR1" s="480"/>
      <c r="CS1" s="480"/>
      <c r="CT1" s="480"/>
      <c r="CU1" s="480"/>
      <c r="CV1" s="480"/>
      <c r="CW1" s="480"/>
      <c r="CX1" s="480"/>
      <c r="CY1" s="480"/>
      <c r="CZ1" s="480"/>
      <c r="DA1" s="480"/>
      <c r="DB1" s="480"/>
      <c r="DC1" s="480"/>
      <c r="DD1" s="480"/>
      <c r="DE1" s="480"/>
      <c r="DF1" s="480"/>
      <c r="DG1" s="480"/>
      <c r="DH1" s="480"/>
      <c r="DI1" s="480"/>
      <c r="DJ1" s="480"/>
      <c r="DK1" s="480"/>
      <c r="DL1" s="480"/>
      <c r="DM1" s="480"/>
      <c r="DN1" s="480"/>
      <c r="DO1" s="480"/>
      <c r="DP1" s="480"/>
      <c r="DQ1" s="480"/>
    </row>
    <row r="2" spans="1:122" ht="57.75" customHeight="1">
      <c r="A2" s="270" t="s">
        <v>66</v>
      </c>
      <c r="B2" s="304" t="s">
        <v>0</v>
      </c>
      <c r="C2" s="305" t="s">
        <v>4</v>
      </c>
      <c r="D2" s="306" t="s">
        <v>31</v>
      </c>
      <c r="E2" s="306"/>
      <c r="F2" s="306" t="s">
        <v>168</v>
      </c>
      <c r="G2" s="306" t="s">
        <v>121</v>
      </c>
      <c r="H2" s="307" t="s">
        <v>32</v>
      </c>
      <c r="I2" s="307" t="s">
        <v>33</v>
      </c>
      <c r="J2" s="306" t="s">
        <v>34</v>
      </c>
      <c r="K2" s="306" t="s">
        <v>35</v>
      </c>
      <c r="L2" s="305" t="s">
        <v>2</v>
      </c>
      <c r="M2" s="305"/>
      <c r="N2" s="305" t="s">
        <v>3</v>
      </c>
      <c r="O2" s="305"/>
      <c r="P2" s="305"/>
      <c r="Q2" s="305"/>
      <c r="R2" s="308" t="s">
        <v>103</v>
      </c>
      <c r="S2" s="309"/>
      <c r="T2" s="309"/>
      <c r="U2" s="309"/>
      <c r="V2" s="309"/>
      <c r="W2" s="309"/>
      <c r="X2" s="309"/>
      <c r="Y2" s="309"/>
      <c r="Z2" s="309"/>
      <c r="AA2" s="309"/>
      <c r="AB2" s="310"/>
      <c r="AC2" s="311" t="s">
        <v>104</v>
      </c>
      <c r="AD2" s="312"/>
      <c r="AE2" s="312"/>
      <c r="AF2" s="312"/>
      <c r="AG2" s="312"/>
      <c r="AH2" s="313"/>
      <c r="AI2" s="305" t="s">
        <v>63</v>
      </c>
      <c r="AJ2" s="314" t="s">
        <v>45</v>
      </c>
      <c r="AK2" s="314" t="s">
        <v>46</v>
      </c>
      <c r="AL2" s="314" t="s">
        <v>47</v>
      </c>
      <c r="AM2" s="314" t="s">
        <v>48</v>
      </c>
      <c r="AN2" s="314" t="s">
        <v>49</v>
      </c>
      <c r="AO2" s="314" t="s">
        <v>50</v>
      </c>
      <c r="AP2" s="315" t="s">
        <v>192</v>
      </c>
      <c r="AQ2" s="315" t="s">
        <v>193</v>
      </c>
      <c r="AR2" s="315" t="s">
        <v>51</v>
      </c>
      <c r="AS2" s="315" t="s">
        <v>194</v>
      </c>
      <c r="AT2" s="315" t="s">
        <v>52</v>
      </c>
      <c r="AU2" s="316" t="s">
        <v>105</v>
      </c>
      <c r="AV2" s="316"/>
      <c r="AW2" s="316"/>
      <c r="AX2" s="315" t="s">
        <v>53</v>
      </c>
      <c r="AY2" s="315" t="s">
        <v>54</v>
      </c>
      <c r="AZ2" s="315" t="s">
        <v>195</v>
      </c>
      <c r="BA2" s="315" t="s">
        <v>196</v>
      </c>
      <c r="BB2" s="315" t="s">
        <v>55</v>
      </c>
      <c r="BC2" s="315" t="s">
        <v>56</v>
      </c>
      <c r="BD2" s="315" t="s">
        <v>57</v>
      </c>
      <c r="BE2" s="315" t="s">
        <v>58</v>
      </c>
      <c r="BF2" s="315" t="s">
        <v>59</v>
      </c>
      <c r="BG2" s="317" t="s">
        <v>60</v>
      </c>
      <c r="BH2" s="318"/>
      <c r="BI2" s="319"/>
      <c r="BJ2" s="481" t="s">
        <v>19</v>
      </c>
      <c r="BK2" s="481"/>
      <c r="BL2" s="481"/>
      <c r="BM2" s="481" t="s">
        <v>21</v>
      </c>
      <c r="BN2" s="481"/>
      <c r="BO2" s="481"/>
      <c r="BP2" s="481" t="s">
        <v>111</v>
      </c>
      <c r="BQ2" s="481"/>
      <c r="BR2" s="481"/>
      <c r="BS2" s="316" t="s">
        <v>22</v>
      </c>
      <c r="BT2" s="316"/>
      <c r="BU2" s="315" t="s">
        <v>197</v>
      </c>
      <c r="BV2" s="315" t="s">
        <v>23</v>
      </c>
      <c r="BW2" s="315" t="s">
        <v>24</v>
      </c>
      <c r="BX2" s="306" t="s">
        <v>198</v>
      </c>
      <c r="BY2" s="320" t="s">
        <v>169</v>
      </c>
      <c r="BZ2" s="321"/>
      <c r="CA2" s="482" t="s">
        <v>199</v>
      </c>
      <c r="CB2" s="314" t="s">
        <v>200</v>
      </c>
      <c r="CC2" s="316" t="s">
        <v>201</v>
      </c>
      <c r="CD2" s="316"/>
      <c r="CE2" s="316" t="s">
        <v>202</v>
      </c>
      <c r="CF2" s="316"/>
      <c r="CG2" s="316" t="s">
        <v>42</v>
      </c>
      <c r="CH2" s="322"/>
      <c r="CI2" s="323" t="s">
        <v>203</v>
      </c>
      <c r="CJ2" s="483" t="s">
        <v>180</v>
      </c>
      <c r="CK2" s="484"/>
      <c r="CL2" s="484"/>
      <c r="CM2" s="484"/>
      <c r="CN2" s="484"/>
      <c r="CO2" s="485"/>
      <c r="CP2" s="305" t="s">
        <v>148</v>
      </c>
      <c r="CQ2" s="305"/>
      <c r="CR2" s="305"/>
      <c r="CS2" s="305"/>
      <c r="CT2" s="305" t="s">
        <v>149</v>
      </c>
      <c r="CU2" s="305"/>
      <c r="CV2" s="305"/>
      <c r="CW2" s="305"/>
      <c r="CX2" s="306" t="s">
        <v>150</v>
      </c>
      <c r="CY2" s="486" t="s">
        <v>151</v>
      </c>
      <c r="CZ2" s="486"/>
      <c r="DA2" s="486"/>
      <c r="DB2" s="486"/>
      <c r="DC2" s="486"/>
      <c r="DD2" s="486"/>
      <c r="DE2" s="486"/>
      <c r="DF2" s="486"/>
      <c r="DG2" s="486"/>
      <c r="DH2" s="486"/>
      <c r="DI2" s="486"/>
      <c r="DJ2" s="486"/>
      <c r="DK2" s="486"/>
      <c r="DL2" s="486"/>
      <c r="DM2" s="486"/>
      <c r="DN2" s="486"/>
      <c r="DO2" s="486"/>
      <c r="DP2" s="486"/>
      <c r="DQ2" s="486"/>
    </row>
    <row r="3" spans="1:122" ht="27" customHeight="1">
      <c r="A3" s="271"/>
      <c r="B3" s="304"/>
      <c r="C3" s="305"/>
      <c r="D3" s="306"/>
      <c r="E3" s="306"/>
      <c r="F3" s="306"/>
      <c r="G3" s="306"/>
      <c r="H3" s="307"/>
      <c r="I3" s="307"/>
      <c r="J3" s="306"/>
      <c r="K3" s="306"/>
      <c r="L3" s="306" t="s">
        <v>36</v>
      </c>
      <c r="M3" s="306" t="s">
        <v>37</v>
      </c>
      <c r="N3" s="306" t="s">
        <v>38</v>
      </c>
      <c r="O3" s="306" t="s">
        <v>39</v>
      </c>
      <c r="P3" s="306" t="s">
        <v>129</v>
      </c>
      <c r="Q3" s="306" t="s">
        <v>40</v>
      </c>
      <c r="R3" s="487" t="s">
        <v>42</v>
      </c>
      <c r="S3" s="488"/>
      <c r="T3" s="316" t="s">
        <v>101</v>
      </c>
      <c r="U3" s="316"/>
      <c r="V3" s="316"/>
      <c r="W3" s="316" t="s">
        <v>102</v>
      </c>
      <c r="X3" s="316"/>
      <c r="Y3" s="316"/>
      <c r="Z3" s="316" t="s">
        <v>127</v>
      </c>
      <c r="AA3" s="316"/>
      <c r="AB3" s="316"/>
      <c r="AC3" s="316" t="s">
        <v>128</v>
      </c>
      <c r="AD3" s="324" t="s">
        <v>102</v>
      </c>
      <c r="AE3" s="324"/>
      <c r="AF3" s="324"/>
      <c r="AG3" s="316" t="s">
        <v>101</v>
      </c>
      <c r="AH3" s="316" t="s">
        <v>127</v>
      </c>
      <c r="AI3" s="305"/>
      <c r="AJ3" s="325"/>
      <c r="AK3" s="325"/>
      <c r="AL3" s="325"/>
      <c r="AM3" s="325"/>
      <c r="AN3" s="325"/>
      <c r="AO3" s="325"/>
      <c r="AP3" s="326"/>
      <c r="AQ3" s="326"/>
      <c r="AR3" s="326"/>
      <c r="AS3" s="326"/>
      <c r="AT3" s="326"/>
      <c r="AU3" s="327" t="s">
        <v>1</v>
      </c>
      <c r="AV3" s="328" t="s">
        <v>61</v>
      </c>
      <c r="AW3" s="329"/>
      <c r="AX3" s="326"/>
      <c r="AY3" s="326"/>
      <c r="AZ3" s="326"/>
      <c r="BA3" s="326"/>
      <c r="BB3" s="326"/>
      <c r="BC3" s="326"/>
      <c r="BD3" s="326"/>
      <c r="BE3" s="326"/>
      <c r="BF3" s="326"/>
      <c r="BG3" s="330"/>
      <c r="BH3" s="331"/>
      <c r="BI3" s="332"/>
      <c r="BJ3" s="333" t="s">
        <v>20</v>
      </c>
      <c r="BK3" s="316" t="s">
        <v>204</v>
      </c>
      <c r="BL3" s="316" t="s">
        <v>205</v>
      </c>
      <c r="BM3" s="333" t="s">
        <v>20</v>
      </c>
      <c r="BN3" s="316" t="s">
        <v>204</v>
      </c>
      <c r="BO3" s="316" t="s">
        <v>205</v>
      </c>
      <c r="BP3" s="333" t="s">
        <v>20</v>
      </c>
      <c r="BQ3" s="316" t="s">
        <v>204</v>
      </c>
      <c r="BR3" s="316" t="s">
        <v>205</v>
      </c>
      <c r="BS3" s="316"/>
      <c r="BT3" s="316"/>
      <c r="BU3" s="326"/>
      <c r="BV3" s="326"/>
      <c r="BW3" s="326"/>
      <c r="BX3" s="306"/>
      <c r="BY3" s="334"/>
      <c r="BZ3" s="335"/>
      <c r="CA3" s="489"/>
      <c r="CB3" s="325"/>
      <c r="CC3" s="316"/>
      <c r="CD3" s="316"/>
      <c r="CE3" s="316"/>
      <c r="CF3" s="316"/>
      <c r="CG3" s="316"/>
      <c r="CH3" s="322"/>
      <c r="CI3" s="323"/>
      <c r="CJ3" s="305" t="s">
        <v>178</v>
      </c>
      <c r="CK3" s="305"/>
      <c r="CL3" s="305"/>
      <c r="CM3" s="305" t="s">
        <v>179</v>
      </c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6"/>
      <c r="CY3" s="490" t="s">
        <v>147</v>
      </c>
      <c r="CZ3" s="305" t="s">
        <v>152</v>
      </c>
      <c r="DA3" s="305"/>
      <c r="DB3" s="491" t="s">
        <v>153</v>
      </c>
      <c r="DC3" s="491"/>
      <c r="DD3" s="491"/>
      <c r="DE3" s="491"/>
      <c r="DF3" s="491"/>
      <c r="DG3" s="491"/>
      <c r="DH3" s="491"/>
      <c r="DI3" s="491"/>
      <c r="DJ3" s="491"/>
      <c r="DK3" s="491"/>
      <c r="DL3" s="491"/>
      <c r="DM3" s="491"/>
      <c r="DN3" s="491"/>
      <c r="DO3" s="491"/>
      <c r="DP3" s="305" t="s">
        <v>154</v>
      </c>
      <c r="DQ3" s="305"/>
    </row>
    <row r="4" spans="1:122" ht="12.75" customHeight="1">
      <c r="A4" s="271"/>
      <c r="B4" s="304"/>
      <c r="C4" s="305"/>
      <c r="D4" s="306"/>
      <c r="E4" s="306"/>
      <c r="F4" s="306"/>
      <c r="G4" s="306"/>
      <c r="H4" s="307"/>
      <c r="I4" s="307"/>
      <c r="J4" s="306"/>
      <c r="K4" s="306"/>
      <c r="L4" s="306"/>
      <c r="M4" s="306"/>
      <c r="N4" s="306"/>
      <c r="O4" s="306"/>
      <c r="P4" s="306"/>
      <c r="Q4" s="306"/>
      <c r="R4" s="336" t="s">
        <v>43</v>
      </c>
      <c r="S4" s="336"/>
      <c r="T4" s="337" t="s">
        <v>38</v>
      </c>
      <c r="U4" s="336" t="s">
        <v>43</v>
      </c>
      <c r="V4" s="336"/>
      <c r="W4" s="337" t="s">
        <v>38</v>
      </c>
      <c r="X4" s="336" t="s">
        <v>43</v>
      </c>
      <c r="Y4" s="336"/>
      <c r="Z4" s="337" t="s">
        <v>38</v>
      </c>
      <c r="AA4" s="336" t="s">
        <v>43</v>
      </c>
      <c r="AB4" s="336"/>
      <c r="AC4" s="316"/>
      <c r="AD4" s="338" t="s">
        <v>42</v>
      </c>
      <c r="AE4" s="338" t="s">
        <v>124</v>
      </c>
      <c r="AF4" s="338"/>
      <c r="AG4" s="316"/>
      <c r="AH4" s="316"/>
      <c r="AI4" s="305"/>
      <c r="AJ4" s="325"/>
      <c r="AK4" s="325"/>
      <c r="AL4" s="325"/>
      <c r="AM4" s="325"/>
      <c r="AN4" s="325"/>
      <c r="AO4" s="325"/>
      <c r="AP4" s="326"/>
      <c r="AQ4" s="326"/>
      <c r="AR4" s="326"/>
      <c r="AS4" s="326"/>
      <c r="AT4" s="326"/>
      <c r="AU4" s="339"/>
      <c r="AV4" s="327" t="s">
        <v>8</v>
      </c>
      <c r="AW4" s="327" t="s">
        <v>9</v>
      </c>
      <c r="AX4" s="326"/>
      <c r="AY4" s="326"/>
      <c r="AZ4" s="326"/>
      <c r="BA4" s="326"/>
      <c r="BB4" s="326"/>
      <c r="BC4" s="326"/>
      <c r="BD4" s="326"/>
      <c r="BE4" s="326"/>
      <c r="BF4" s="326"/>
      <c r="BG4" s="340"/>
      <c r="BH4" s="341"/>
      <c r="BI4" s="342"/>
      <c r="BJ4" s="333"/>
      <c r="BK4" s="316"/>
      <c r="BL4" s="316"/>
      <c r="BM4" s="333"/>
      <c r="BN4" s="316"/>
      <c r="BO4" s="316"/>
      <c r="BP4" s="333"/>
      <c r="BQ4" s="316"/>
      <c r="BR4" s="316"/>
      <c r="BS4" s="343" t="s">
        <v>25</v>
      </c>
      <c r="BT4" s="343" t="s">
        <v>26</v>
      </c>
      <c r="BU4" s="326"/>
      <c r="BV4" s="326"/>
      <c r="BW4" s="326"/>
      <c r="BX4" s="306"/>
      <c r="BY4" s="344"/>
      <c r="BZ4" s="345"/>
      <c r="CA4" s="489"/>
      <c r="CB4" s="325"/>
      <c r="CC4" s="316"/>
      <c r="CD4" s="316"/>
      <c r="CE4" s="316"/>
      <c r="CF4" s="316"/>
      <c r="CG4" s="316"/>
      <c r="CH4" s="322"/>
      <c r="CI4" s="323"/>
      <c r="CJ4" s="305"/>
      <c r="CK4" s="305"/>
      <c r="CL4" s="305"/>
      <c r="CM4" s="305"/>
      <c r="CN4" s="305"/>
      <c r="CO4" s="305"/>
      <c r="CP4" s="306" t="s">
        <v>155</v>
      </c>
      <c r="CQ4" s="306" t="s">
        <v>156</v>
      </c>
      <c r="CR4" s="306" t="s">
        <v>157</v>
      </c>
      <c r="CS4" s="306" t="s">
        <v>158</v>
      </c>
      <c r="CT4" s="306" t="s">
        <v>155</v>
      </c>
      <c r="CU4" s="306" t="s">
        <v>156</v>
      </c>
      <c r="CV4" s="306" t="s">
        <v>157</v>
      </c>
      <c r="CW4" s="306" t="s">
        <v>158</v>
      </c>
      <c r="CX4" s="306"/>
      <c r="CY4" s="490"/>
      <c r="CZ4" s="306" t="s">
        <v>159</v>
      </c>
      <c r="DA4" s="306" t="s">
        <v>160</v>
      </c>
      <c r="DB4" s="491" t="s">
        <v>159</v>
      </c>
      <c r="DC4" s="491"/>
      <c r="DD4" s="491"/>
      <c r="DE4" s="491"/>
      <c r="DF4" s="491"/>
      <c r="DG4" s="491"/>
      <c r="DH4" s="491"/>
      <c r="DI4" s="491" t="s">
        <v>160</v>
      </c>
      <c r="DJ4" s="491"/>
      <c r="DK4" s="491"/>
      <c r="DL4" s="491"/>
      <c r="DM4" s="491"/>
      <c r="DN4" s="491"/>
      <c r="DO4" s="491"/>
      <c r="DP4" s="305"/>
      <c r="DQ4" s="305"/>
    </row>
    <row r="5" spans="1:122" ht="63.75" customHeight="1">
      <c r="A5" s="272"/>
      <c r="B5" s="304"/>
      <c r="C5" s="305"/>
      <c r="D5" s="306"/>
      <c r="E5" s="306"/>
      <c r="F5" s="306"/>
      <c r="G5" s="306"/>
      <c r="H5" s="307"/>
      <c r="I5" s="307"/>
      <c r="J5" s="306"/>
      <c r="K5" s="306"/>
      <c r="L5" s="306"/>
      <c r="M5" s="306"/>
      <c r="N5" s="306"/>
      <c r="O5" s="306"/>
      <c r="P5" s="306"/>
      <c r="Q5" s="306"/>
      <c r="R5" s="346" t="s">
        <v>41</v>
      </c>
      <c r="S5" s="346" t="s">
        <v>5</v>
      </c>
      <c r="T5" s="347"/>
      <c r="U5" s="348" t="s">
        <v>41</v>
      </c>
      <c r="V5" s="348" t="s">
        <v>5</v>
      </c>
      <c r="W5" s="347"/>
      <c r="X5" s="348" t="s">
        <v>41</v>
      </c>
      <c r="Y5" s="348" t="s">
        <v>5</v>
      </c>
      <c r="Z5" s="347"/>
      <c r="AA5" s="348" t="s">
        <v>41</v>
      </c>
      <c r="AB5" s="348" t="s">
        <v>5</v>
      </c>
      <c r="AC5" s="316"/>
      <c r="AD5" s="338"/>
      <c r="AE5" s="349" t="s">
        <v>125</v>
      </c>
      <c r="AF5" s="350" t="s">
        <v>126</v>
      </c>
      <c r="AG5" s="316"/>
      <c r="AH5" s="316"/>
      <c r="AI5" s="305"/>
      <c r="AJ5" s="351"/>
      <c r="AK5" s="351"/>
      <c r="AL5" s="351"/>
      <c r="AM5" s="351"/>
      <c r="AN5" s="351"/>
      <c r="AO5" s="351"/>
      <c r="AP5" s="352"/>
      <c r="AQ5" s="352"/>
      <c r="AR5" s="352"/>
      <c r="AS5" s="352"/>
      <c r="AT5" s="352"/>
      <c r="AU5" s="353"/>
      <c r="AV5" s="353"/>
      <c r="AW5" s="353"/>
      <c r="AX5" s="352"/>
      <c r="AY5" s="352"/>
      <c r="AZ5" s="352"/>
      <c r="BA5" s="352"/>
      <c r="BB5" s="352"/>
      <c r="BC5" s="352"/>
      <c r="BD5" s="352"/>
      <c r="BE5" s="352"/>
      <c r="BF5" s="352"/>
      <c r="BG5" s="354" t="s">
        <v>62</v>
      </c>
      <c r="BH5" s="354" t="s">
        <v>6</v>
      </c>
      <c r="BI5" s="355" t="s">
        <v>7</v>
      </c>
      <c r="BJ5" s="333"/>
      <c r="BK5" s="316"/>
      <c r="BL5" s="316"/>
      <c r="BM5" s="333"/>
      <c r="BN5" s="316"/>
      <c r="BO5" s="316"/>
      <c r="BP5" s="333"/>
      <c r="BQ5" s="316"/>
      <c r="BR5" s="316"/>
      <c r="BS5" s="356"/>
      <c r="BT5" s="356"/>
      <c r="BU5" s="352"/>
      <c r="BV5" s="352"/>
      <c r="BW5" s="352"/>
      <c r="BX5" s="306"/>
      <c r="BY5" s="357" t="s">
        <v>170</v>
      </c>
      <c r="BZ5" s="357" t="s">
        <v>171</v>
      </c>
      <c r="CA5" s="492"/>
      <c r="CB5" s="351"/>
      <c r="CC5" s="343" t="s">
        <v>121</v>
      </c>
      <c r="CD5" s="343" t="s">
        <v>122</v>
      </c>
      <c r="CE5" s="343" t="s">
        <v>121</v>
      </c>
      <c r="CF5" s="343" t="s">
        <v>122</v>
      </c>
      <c r="CG5" s="343" t="s">
        <v>121</v>
      </c>
      <c r="CH5" s="358" t="s">
        <v>122</v>
      </c>
      <c r="CI5" s="323"/>
      <c r="CJ5" s="350" t="s">
        <v>121</v>
      </c>
      <c r="CK5" s="350" t="s">
        <v>181</v>
      </c>
      <c r="CL5" s="359" t="s">
        <v>206</v>
      </c>
      <c r="CM5" s="350" t="s">
        <v>121</v>
      </c>
      <c r="CN5" s="350" t="s">
        <v>183</v>
      </c>
      <c r="CO5" s="359" t="s">
        <v>207</v>
      </c>
      <c r="CP5" s="306"/>
      <c r="CQ5" s="306"/>
      <c r="CR5" s="306"/>
      <c r="CS5" s="306"/>
      <c r="CT5" s="306"/>
      <c r="CU5" s="306"/>
      <c r="CV5" s="306"/>
      <c r="CW5" s="306"/>
      <c r="CX5" s="306"/>
      <c r="CY5" s="490"/>
      <c r="CZ5" s="306"/>
      <c r="DA5" s="306"/>
      <c r="DB5" s="493" t="s">
        <v>161</v>
      </c>
      <c r="DC5" s="493" t="s">
        <v>162</v>
      </c>
      <c r="DD5" s="494" t="s">
        <v>163</v>
      </c>
      <c r="DE5" s="494" t="s">
        <v>164</v>
      </c>
      <c r="DF5" s="493" t="s">
        <v>165</v>
      </c>
      <c r="DG5" s="494" t="s">
        <v>163</v>
      </c>
      <c r="DH5" s="494" t="s">
        <v>164</v>
      </c>
      <c r="DI5" s="493" t="s">
        <v>161</v>
      </c>
      <c r="DJ5" s="493" t="s">
        <v>162</v>
      </c>
      <c r="DK5" s="494" t="s">
        <v>163</v>
      </c>
      <c r="DL5" s="494" t="s">
        <v>164</v>
      </c>
      <c r="DM5" s="493" t="s">
        <v>165</v>
      </c>
      <c r="DN5" s="494" t="s">
        <v>163</v>
      </c>
      <c r="DO5" s="494" t="s">
        <v>164</v>
      </c>
      <c r="DP5" s="494" t="s">
        <v>155</v>
      </c>
      <c r="DQ5" s="494" t="s">
        <v>166</v>
      </c>
    </row>
    <row r="6" spans="1:122">
      <c r="A6" s="12"/>
      <c r="B6" s="360"/>
      <c r="C6" s="360">
        <v>1</v>
      </c>
      <c r="D6" s="360">
        <v>2</v>
      </c>
      <c r="E6" s="360"/>
      <c r="F6" s="360">
        <v>4</v>
      </c>
      <c r="G6" s="360">
        <v>5</v>
      </c>
      <c r="H6" s="360">
        <v>6</v>
      </c>
      <c r="I6" s="360">
        <v>7</v>
      </c>
      <c r="J6" s="360">
        <v>8</v>
      </c>
      <c r="K6" s="360">
        <v>9</v>
      </c>
      <c r="L6" s="360">
        <v>10</v>
      </c>
      <c r="M6" s="360">
        <v>11</v>
      </c>
      <c r="N6" s="360">
        <v>12</v>
      </c>
      <c r="O6" s="360">
        <v>13</v>
      </c>
      <c r="P6" s="360">
        <v>14</v>
      </c>
      <c r="Q6" s="360">
        <v>15</v>
      </c>
      <c r="R6" s="360">
        <v>16</v>
      </c>
      <c r="S6" s="360">
        <v>17</v>
      </c>
      <c r="T6" s="360">
        <v>18</v>
      </c>
      <c r="U6" s="360">
        <v>19</v>
      </c>
      <c r="V6" s="360">
        <v>20</v>
      </c>
      <c r="W6" s="360">
        <v>21</v>
      </c>
      <c r="X6" s="360">
        <v>22</v>
      </c>
      <c r="Y6" s="360">
        <v>23</v>
      </c>
      <c r="Z6" s="360">
        <v>24</v>
      </c>
      <c r="AA6" s="360">
        <v>25</v>
      </c>
      <c r="AB6" s="360">
        <v>26</v>
      </c>
      <c r="AC6" s="360">
        <v>27</v>
      </c>
      <c r="AD6" s="360">
        <v>28</v>
      </c>
      <c r="AE6" s="360">
        <v>29</v>
      </c>
      <c r="AF6" s="360">
        <v>30</v>
      </c>
      <c r="AG6" s="360">
        <v>31</v>
      </c>
      <c r="AH6" s="360">
        <v>32</v>
      </c>
      <c r="AI6" s="360">
        <v>33</v>
      </c>
      <c r="AJ6" s="360">
        <v>34</v>
      </c>
      <c r="AK6" s="360">
        <v>35</v>
      </c>
      <c r="AL6" s="360">
        <v>36</v>
      </c>
      <c r="AM6" s="360">
        <v>37</v>
      </c>
      <c r="AN6" s="360">
        <v>38</v>
      </c>
      <c r="AO6" s="360">
        <v>39</v>
      </c>
      <c r="AP6" s="360">
        <v>40</v>
      </c>
      <c r="AQ6" s="360">
        <v>41</v>
      </c>
      <c r="AR6" s="360">
        <v>42</v>
      </c>
      <c r="AS6" s="360">
        <v>43</v>
      </c>
      <c r="AT6" s="360">
        <v>44</v>
      </c>
      <c r="AU6" s="360">
        <v>45</v>
      </c>
      <c r="AV6" s="360">
        <v>46</v>
      </c>
      <c r="AW6" s="360">
        <v>47</v>
      </c>
      <c r="AX6" s="360">
        <v>48</v>
      </c>
      <c r="AY6" s="360">
        <v>49</v>
      </c>
      <c r="AZ6" s="360">
        <v>50</v>
      </c>
      <c r="BA6" s="360">
        <v>51</v>
      </c>
      <c r="BB6" s="360">
        <v>52</v>
      </c>
      <c r="BC6" s="360">
        <v>53</v>
      </c>
      <c r="BD6" s="360">
        <v>54</v>
      </c>
      <c r="BE6" s="360">
        <v>55</v>
      </c>
      <c r="BF6" s="360">
        <v>56</v>
      </c>
      <c r="BG6" s="360">
        <v>57</v>
      </c>
      <c r="BH6" s="360">
        <v>58</v>
      </c>
      <c r="BI6" s="360">
        <v>59</v>
      </c>
      <c r="BJ6" s="360">
        <v>60</v>
      </c>
      <c r="BK6" s="360">
        <v>61</v>
      </c>
      <c r="BL6" s="360">
        <v>62</v>
      </c>
      <c r="BM6" s="360">
        <v>63</v>
      </c>
      <c r="BN6" s="360">
        <v>64</v>
      </c>
      <c r="BO6" s="360">
        <v>65</v>
      </c>
      <c r="BP6" s="360">
        <v>66</v>
      </c>
      <c r="BQ6" s="360">
        <v>67</v>
      </c>
      <c r="BR6" s="360">
        <v>68</v>
      </c>
      <c r="BS6" s="360">
        <v>69</v>
      </c>
      <c r="BT6" s="360">
        <v>70</v>
      </c>
      <c r="BU6" s="360">
        <v>71</v>
      </c>
      <c r="BV6" s="360">
        <v>72</v>
      </c>
      <c r="BW6" s="360">
        <v>73</v>
      </c>
      <c r="BX6" s="360">
        <v>74</v>
      </c>
      <c r="BY6" s="360">
        <v>75</v>
      </c>
      <c r="BZ6" s="360">
        <v>76</v>
      </c>
      <c r="CA6" s="360">
        <v>77</v>
      </c>
      <c r="CB6" s="360">
        <v>78</v>
      </c>
      <c r="CC6" s="360">
        <v>79</v>
      </c>
      <c r="CD6" s="360">
        <v>80</v>
      </c>
      <c r="CE6" s="360">
        <v>81</v>
      </c>
      <c r="CF6" s="360">
        <v>82</v>
      </c>
      <c r="CG6" s="360">
        <v>83</v>
      </c>
      <c r="CH6" s="360">
        <v>84</v>
      </c>
      <c r="CI6" s="360">
        <v>85</v>
      </c>
      <c r="CJ6" s="360">
        <v>86</v>
      </c>
      <c r="CK6" s="360">
        <v>87</v>
      </c>
      <c r="CL6" s="360">
        <v>88</v>
      </c>
      <c r="CM6" s="360">
        <v>89</v>
      </c>
      <c r="CN6" s="360">
        <v>90</v>
      </c>
      <c r="CO6" s="360">
        <v>91</v>
      </c>
      <c r="CP6" s="360">
        <v>92</v>
      </c>
      <c r="CQ6" s="360">
        <v>93</v>
      </c>
      <c r="CR6" s="360">
        <v>94</v>
      </c>
      <c r="CS6" s="360">
        <v>95</v>
      </c>
      <c r="CT6" s="360">
        <v>96</v>
      </c>
      <c r="CU6" s="360">
        <v>97</v>
      </c>
      <c r="CV6" s="360">
        <v>98</v>
      </c>
      <c r="CW6" s="360">
        <v>99</v>
      </c>
      <c r="CX6" s="360">
        <v>100</v>
      </c>
      <c r="CY6" s="360">
        <v>101</v>
      </c>
      <c r="CZ6" s="360">
        <v>102</v>
      </c>
      <c r="DA6" s="360">
        <v>103</v>
      </c>
      <c r="DB6" s="360">
        <v>104</v>
      </c>
      <c r="DC6" s="360">
        <v>105</v>
      </c>
      <c r="DD6" s="360">
        <v>106</v>
      </c>
      <c r="DE6" s="360">
        <v>107</v>
      </c>
      <c r="DF6" s="360">
        <v>108</v>
      </c>
      <c r="DG6" s="360">
        <v>109</v>
      </c>
      <c r="DH6" s="360">
        <v>110</v>
      </c>
      <c r="DI6" s="360">
        <v>111</v>
      </c>
      <c r="DJ6" s="360">
        <v>112</v>
      </c>
      <c r="DK6" s="360">
        <v>113</v>
      </c>
      <c r="DL6" s="360">
        <v>114</v>
      </c>
      <c r="DM6" s="360">
        <v>115</v>
      </c>
      <c r="DN6" s="360">
        <v>116</v>
      </c>
      <c r="DO6" s="360">
        <v>117</v>
      </c>
      <c r="DP6" s="360">
        <v>118</v>
      </c>
      <c r="DQ6" s="360">
        <v>119</v>
      </c>
    </row>
    <row r="7" spans="1:122" s="58" customFormat="1" ht="13.9" customHeight="1">
      <c r="A7" s="43" t="s">
        <v>95</v>
      </c>
      <c r="B7" s="361">
        <v>1</v>
      </c>
      <c r="C7" s="362" t="s">
        <v>110</v>
      </c>
      <c r="D7" s="363">
        <v>1951</v>
      </c>
      <c r="E7" s="364"/>
      <c r="F7" s="364" t="s">
        <v>29</v>
      </c>
      <c r="G7" s="365">
        <v>1</v>
      </c>
      <c r="H7" s="364">
        <v>7</v>
      </c>
      <c r="I7" s="364" t="s">
        <v>100</v>
      </c>
      <c r="J7" s="366">
        <v>73573</v>
      </c>
      <c r="K7" s="366">
        <v>3735</v>
      </c>
      <c r="L7" s="366">
        <v>4498</v>
      </c>
      <c r="M7" s="366">
        <v>0</v>
      </c>
      <c r="N7" s="366">
        <v>86</v>
      </c>
      <c r="O7" s="366">
        <v>256</v>
      </c>
      <c r="P7" s="366">
        <v>102</v>
      </c>
      <c r="Q7" s="367">
        <v>154</v>
      </c>
      <c r="R7" s="368">
        <v>7626.33</v>
      </c>
      <c r="S7" s="369">
        <v>4813.1000000000004</v>
      </c>
      <c r="T7" s="370">
        <f>N7-W7-Z7</f>
        <v>73</v>
      </c>
      <c r="U7" s="371">
        <f>R7-X7-AA7</f>
        <v>6520.27</v>
      </c>
      <c r="V7" s="371">
        <f>S7-Y7-AB7</f>
        <v>4105.9900000000007</v>
      </c>
      <c r="W7" s="372">
        <v>13</v>
      </c>
      <c r="X7" s="373">
        <v>1106.06</v>
      </c>
      <c r="Y7" s="373">
        <v>707.11</v>
      </c>
      <c r="Z7" s="374"/>
      <c r="AA7" s="374"/>
      <c r="AB7" s="374"/>
      <c r="AC7" s="373">
        <f>AD7+AG7+AH7</f>
        <v>5049.5</v>
      </c>
      <c r="AD7" s="368">
        <f>AE7+AF7</f>
        <v>4282.5</v>
      </c>
      <c r="AE7" s="375"/>
      <c r="AF7" s="368">
        <f>4654.9-372.4</f>
        <v>4282.5</v>
      </c>
      <c r="AG7" s="375">
        <f>394.6+372.4</f>
        <v>767</v>
      </c>
      <c r="AH7" s="376"/>
      <c r="AI7" s="375">
        <f>R7+AC7</f>
        <v>12675.83</v>
      </c>
      <c r="AJ7" s="366"/>
      <c r="AK7" s="366"/>
      <c r="AL7" s="366">
        <v>5</v>
      </c>
      <c r="AM7" s="366"/>
      <c r="AN7" s="366"/>
      <c r="AO7" s="366">
        <v>2</v>
      </c>
      <c r="AP7" s="366">
        <v>9516</v>
      </c>
      <c r="AQ7" s="366">
        <v>2752</v>
      </c>
      <c r="AR7" s="366">
        <v>735</v>
      </c>
      <c r="AS7" s="366">
        <v>540</v>
      </c>
      <c r="AT7" s="366">
        <v>210</v>
      </c>
      <c r="AU7" s="366">
        <f t="shared" ref="AU7:AU9" si="0">SUM(AV7+AW7)</f>
        <v>4225</v>
      </c>
      <c r="AV7" s="366"/>
      <c r="AW7" s="366">
        <v>4225</v>
      </c>
      <c r="AX7" s="366"/>
      <c r="AY7" s="366">
        <v>247</v>
      </c>
      <c r="AZ7" s="366">
        <v>3724</v>
      </c>
      <c r="BA7" s="366">
        <v>3724</v>
      </c>
      <c r="BB7" s="366">
        <v>25</v>
      </c>
      <c r="BC7" s="366">
        <v>10</v>
      </c>
      <c r="BD7" s="366">
        <v>346</v>
      </c>
      <c r="BE7" s="366">
        <v>863</v>
      </c>
      <c r="BF7" s="366"/>
      <c r="BG7" s="366">
        <v>7238</v>
      </c>
      <c r="BH7" s="366">
        <v>190</v>
      </c>
      <c r="BI7" s="366"/>
      <c r="BJ7" s="366">
        <f>G7</f>
        <v>1</v>
      </c>
      <c r="BK7" s="366">
        <f>R7</f>
        <v>7626.33</v>
      </c>
      <c r="BL7" s="366">
        <f>S7</f>
        <v>4813.1000000000004</v>
      </c>
      <c r="BM7" s="366"/>
      <c r="BN7" s="366"/>
      <c r="BO7" s="366"/>
      <c r="BP7" s="366"/>
      <c r="BQ7" s="366"/>
      <c r="BR7" s="366"/>
      <c r="BS7" s="366"/>
      <c r="BT7" s="366">
        <v>4</v>
      </c>
      <c r="BU7" s="366">
        <f>BA7</f>
        <v>3724</v>
      </c>
      <c r="BV7" s="366">
        <v>5820</v>
      </c>
      <c r="BW7" s="366"/>
      <c r="BX7" s="366">
        <f>AP7</f>
        <v>9516</v>
      </c>
      <c r="BY7" s="377">
        <v>803.19999999999993</v>
      </c>
      <c r="BZ7" s="377">
        <v>803.2</v>
      </c>
      <c r="CA7" s="378">
        <v>6860</v>
      </c>
      <c r="CB7" s="378">
        <f t="shared" ref="CB7:CB54" si="1">CA7-K7</f>
        <v>3125</v>
      </c>
      <c r="CC7" s="379" t="str">
        <f t="shared" ref="CC7:CC22" si="2">IF(CD7&gt;0,G7,"0")</f>
        <v>0</v>
      </c>
      <c r="CD7" s="380">
        <f t="shared" ref="CD7:CD54" si="3">AV7</f>
        <v>0</v>
      </c>
      <c r="CE7" s="379">
        <f t="shared" ref="CE7:CE54" si="4">IF(CF7&gt;0,G7,"0")</f>
        <v>1</v>
      </c>
      <c r="CF7" s="380">
        <f t="shared" ref="CF7:CF54" si="5">AW7</f>
        <v>4225</v>
      </c>
      <c r="CG7" s="380">
        <f>CC7+CE7</f>
        <v>1</v>
      </c>
      <c r="CH7" s="380">
        <f>CD7+CF7</f>
        <v>4225</v>
      </c>
      <c r="CI7" s="381">
        <v>50</v>
      </c>
      <c r="CJ7" s="382" t="str">
        <f>IF((X7/R7*100&gt;=50), G7, "0")</f>
        <v>0</v>
      </c>
      <c r="CK7" s="382" t="str">
        <f>IF((X7/R7*100&gt;=50), R7, "0")</f>
        <v>0</v>
      </c>
      <c r="CL7" s="383">
        <f>X7/R7*100</f>
        <v>14.503175183869569</v>
      </c>
      <c r="CM7" s="382" t="str">
        <f>IF(((X7+AD7)/AI7*100&gt;=50), G7, "0")</f>
        <v>0</v>
      </c>
      <c r="CN7" s="382" t="str">
        <f>IF(((X7+AD7)/AI7*100&gt;=50), AI7, "0")</f>
        <v>0</v>
      </c>
      <c r="CO7" s="383">
        <f>(X7+AD7)/AI7*100</f>
        <v>42.510510159886962</v>
      </c>
      <c r="CP7" s="181">
        <v>1</v>
      </c>
      <c r="CQ7" s="181">
        <v>0</v>
      </c>
      <c r="CR7" s="181">
        <v>0</v>
      </c>
      <c r="CS7" s="181">
        <v>0</v>
      </c>
      <c r="CT7" s="181">
        <v>3</v>
      </c>
      <c r="CU7" s="181">
        <v>0</v>
      </c>
      <c r="CV7" s="181">
        <v>0</v>
      </c>
      <c r="CW7" s="181">
        <v>0</v>
      </c>
      <c r="CX7" s="181">
        <v>0</v>
      </c>
      <c r="CY7" s="184">
        <v>86</v>
      </c>
      <c r="CZ7" s="384">
        <v>78</v>
      </c>
      <c r="DA7" s="184">
        <v>8</v>
      </c>
      <c r="DB7" s="181">
        <v>69</v>
      </c>
      <c r="DC7" s="181">
        <v>22</v>
      </c>
      <c r="DD7" s="181">
        <v>112</v>
      </c>
      <c r="DE7" s="181">
        <v>30</v>
      </c>
      <c r="DF7" s="181">
        <v>22</v>
      </c>
      <c r="DG7" s="181">
        <v>112</v>
      </c>
      <c r="DH7" s="181">
        <v>41</v>
      </c>
      <c r="DI7" s="181">
        <v>4</v>
      </c>
      <c r="DJ7" s="181">
        <v>1</v>
      </c>
      <c r="DK7" s="184">
        <v>8</v>
      </c>
      <c r="DL7" s="181">
        <v>1</v>
      </c>
      <c r="DM7" s="181">
        <v>1</v>
      </c>
      <c r="DN7" s="184">
        <v>9</v>
      </c>
      <c r="DO7" s="181">
        <v>2</v>
      </c>
      <c r="DP7" s="184">
        <f t="shared" ref="DP7:DP54" si="6">CY7</f>
        <v>86</v>
      </c>
      <c r="DQ7" s="181">
        <v>24</v>
      </c>
      <c r="DR7" s="385"/>
    </row>
    <row r="8" spans="1:122" s="58" customFormat="1" ht="13.9" customHeight="1">
      <c r="A8" s="43" t="s">
        <v>95</v>
      </c>
      <c r="B8" s="361">
        <v>2</v>
      </c>
      <c r="C8" s="362" t="s">
        <v>30</v>
      </c>
      <c r="D8" s="363">
        <v>1993</v>
      </c>
      <c r="E8" s="364"/>
      <c r="F8" s="364" t="s">
        <v>28</v>
      </c>
      <c r="G8" s="365">
        <v>1</v>
      </c>
      <c r="H8" s="364">
        <v>9</v>
      </c>
      <c r="I8" s="364" t="s">
        <v>99</v>
      </c>
      <c r="J8" s="366">
        <v>29497</v>
      </c>
      <c r="K8" s="366">
        <v>1170</v>
      </c>
      <c r="L8" s="366"/>
      <c r="M8" s="366">
        <v>1181</v>
      </c>
      <c r="N8" s="366">
        <v>101</v>
      </c>
      <c r="O8" s="366">
        <v>277</v>
      </c>
      <c r="P8" s="366">
        <v>102</v>
      </c>
      <c r="Q8" s="386">
        <v>283</v>
      </c>
      <c r="R8" s="368">
        <v>6588.2</v>
      </c>
      <c r="S8" s="369">
        <v>4098.7</v>
      </c>
      <c r="T8" s="386">
        <f t="shared" ref="T8:T54" si="7">N8-W8-Z8</f>
        <v>98</v>
      </c>
      <c r="U8" s="366">
        <f t="shared" ref="U8:U54" si="8">R8-X8-AA8</f>
        <v>6383.4</v>
      </c>
      <c r="V8" s="366">
        <f t="shared" ref="V8:V54" si="9">S8-Y8-AB8</f>
        <v>3969.2</v>
      </c>
      <c r="W8" s="372">
        <v>3</v>
      </c>
      <c r="X8" s="373">
        <v>204.8</v>
      </c>
      <c r="Y8" s="373">
        <v>129.5</v>
      </c>
      <c r="Z8" s="374"/>
      <c r="AA8" s="374"/>
      <c r="AB8" s="374"/>
      <c r="AC8" s="373">
        <f t="shared" ref="AC8:AC54" si="10">AD8+AG8+AH8</f>
        <v>95.1</v>
      </c>
      <c r="AD8" s="368">
        <f t="shared" ref="AD8:AD54" si="11">AE8+AF8</f>
        <v>0</v>
      </c>
      <c r="AE8" s="375"/>
      <c r="AF8" s="368">
        <v>0</v>
      </c>
      <c r="AG8" s="375">
        <v>95.1</v>
      </c>
      <c r="AH8" s="376"/>
      <c r="AI8" s="375">
        <f t="shared" ref="AI8:AI9" si="12">R8+AC8</f>
        <v>6683.3</v>
      </c>
      <c r="AJ8" s="366"/>
      <c r="AK8" s="366">
        <v>3</v>
      </c>
      <c r="AL8" s="366">
        <v>3</v>
      </c>
      <c r="AM8" s="366">
        <v>3</v>
      </c>
      <c r="AN8" s="366"/>
      <c r="AO8" s="366">
        <v>3</v>
      </c>
      <c r="AP8" s="366">
        <v>5400</v>
      </c>
      <c r="AQ8" s="366"/>
      <c r="AR8" s="366">
        <v>413</v>
      </c>
      <c r="AS8" s="366">
        <v>360</v>
      </c>
      <c r="AT8" s="366">
        <v>429</v>
      </c>
      <c r="AU8" s="366">
        <f t="shared" si="0"/>
        <v>10869</v>
      </c>
      <c r="AV8" s="366"/>
      <c r="AW8" s="366">
        <v>10869</v>
      </c>
      <c r="AX8" s="366">
        <v>2970</v>
      </c>
      <c r="AY8" s="366">
        <v>167</v>
      </c>
      <c r="AZ8" s="366">
        <v>1102</v>
      </c>
      <c r="BA8" s="366">
        <v>1102</v>
      </c>
      <c r="BB8" s="366">
        <v>51</v>
      </c>
      <c r="BC8" s="366">
        <v>6</v>
      </c>
      <c r="BD8" s="366">
        <v>388</v>
      </c>
      <c r="BE8" s="366">
        <v>689</v>
      </c>
      <c r="BF8" s="366">
        <v>2</v>
      </c>
      <c r="BG8" s="366">
        <v>11400</v>
      </c>
      <c r="BH8" s="366">
        <v>4905</v>
      </c>
      <c r="BI8" s="366">
        <v>135</v>
      </c>
      <c r="BJ8" s="366"/>
      <c r="BK8" s="366"/>
      <c r="BL8" s="366"/>
      <c r="BM8" s="366">
        <f>G8</f>
        <v>1</v>
      </c>
      <c r="BN8" s="366">
        <f>R8</f>
        <v>6588.2</v>
      </c>
      <c r="BO8" s="366">
        <f>S8</f>
        <v>4098.7</v>
      </c>
      <c r="BP8" s="366"/>
      <c r="BQ8" s="366"/>
      <c r="BR8" s="366"/>
      <c r="BS8" s="366"/>
      <c r="BT8" s="366">
        <v>3</v>
      </c>
      <c r="BU8" s="366"/>
      <c r="BV8" s="366"/>
      <c r="BW8" s="366"/>
      <c r="BX8" s="366"/>
      <c r="BY8" s="377">
        <v>2292.4999999999995</v>
      </c>
      <c r="BZ8" s="377">
        <v>1045.0999999999999</v>
      </c>
      <c r="CA8" s="378">
        <v>3914</v>
      </c>
      <c r="CB8" s="378">
        <f t="shared" si="1"/>
        <v>2744</v>
      </c>
      <c r="CC8" s="379" t="str">
        <f t="shared" si="2"/>
        <v>0</v>
      </c>
      <c r="CD8" s="380">
        <f t="shared" si="3"/>
        <v>0</v>
      </c>
      <c r="CE8" s="379">
        <f t="shared" si="4"/>
        <v>1</v>
      </c>
      <c r="CF8" s="380">
        <f t="shared" si="5"/>
        <v>10869</v>
      </c>
      <c r="CG8" s="380">
        <f t="shared" ref="CG8:CG45" si="13">CC8+CE8</f>
        <v>1</v>
      </c>
      <c r="CH8" s="380">
        <f t="shared" ref="CH8:CH45" si="14">CD8+CF8</f>
        <v>10869</v>
      </c>
      <c r="CI8" s="381">
        <v>32</v>
      </c>
      <c r="CJ8" s="382" t="str">
        <f t="shared" ref="CJ8:CJ54" si="15">IF((X8/R8*100&gt;=50), G8, "0")</f>
        <v>0</v>
      </c>
      <c r="CK8" s="382" t="str">
        <f t="shared" ref="CK8:CK54" si="16">IF((X8/R8*100&gt;=50), R8, "0")</f>
        <v>0</v>
      </c>
      <c r="CL8" s="383">
        <f t="shared" ref="CL8:CL54" si="17">X8/R8*100</f>
        <v>3.1085880817218667</v>
      </c>
      <c r="CM8" s="382" t="str">
        <f t="shared" ref="CM8:CM54" si="18">IF(((X8+AD8)/AI8*100&gt;=50), G8, "0")</f>
        <v>0</v>
      </c>
      <c r="CN8" s="382" t="str">
        <f t="shared" ref="CN8:CN54" si="19">IF(((X8+AD8)/AI8*100&gt;=50), AI8, "0")</f>
        <v>0</v>
      </c>
      <c r="CO8" s="383">
        <f t="shared" ref="CO8:CO54" si="20">(X8+AD8)/AI8*100</f>
        <v>3.0643544356829708</v>
      </c>
      <c r="CP8" s="185">
        <v>1</v>
      </c>
      <c r="CQ8" s="185">
        <v>0</v>
      </c>
      <c r="CR8" s="185">
        <v>0</v>
      </c>
      <c r="CS8" s="185">
        <v>0</v>
      </c>
      <c r="CT8" s="185">
        <v>2</v>
      </c>
      <c r="CU8" s="185">
        <v>0</v>
      </c>
      <c r="CV8" s="185">
        <v>0</v>
      </c>
      <c r="CW8" s="185">
        <v>0</v>
      </c>
      <c r="CX8" s="185">
        <v>0</v>
      </c>
      <c r="CY8" s="188">
        <v>101</v>
      </c>
      <c r="CZ8" s="387">
        <v>100</v>
      </c>
      <c r="DA8" s="188">
        <v>1</v>
      </c>
      <c r="DB8" s="185">
        <v>97</v>
      </c>
      <c r="DC8" s="185">
        <v>68</v>
      </c>
      <c r="DD8" s="189">
        <v>169</v>
      </c>
      <c r="DE8" s="185">
        <v>76</v>
      </c>
      <c r="DF8" s="185">
        <v>68</v>
      </c>
      <c r="DG8" s="189">
        <v>169</v>
      </c>
      <c r="DH8" s="185">
        <v>76</v>
      </c>
      <c r="DI8" s="185">
        <v>1</v>
      </c>
      <c r="DJ8" s="185">
        <v>1</v>
      </c>
      <c r="DK8" s="188">
        <v>1</v>
      </c>
      <c r="DL8" s="185">
        <v>1</v>
      </c>
      <c r="DM8" s="185">
        <v>1</v>
      </c>
      <c r="DN8" s="188">
        <v>1</v>
      </c>
      <c r="DO8" s="185">
        <v>1</v>
      </c>
      <c r="DP8" s="184">
        <f t="shared" si="6"/>
        <v>101</v>
      </c>
      <c r="DQ8" s="185">
        <v>101</v>
      </c>
      <c r="DR8" s="385"/>
    </row>
    <row r="9" spans="1:122">
      <c r="A9" s="43" t="s">
        <v>95</v>
      </c>
      <c r="B9" s="361">
        <v>3</v>
      </c>
      <c r="C9" s="362" t="s">
        <v>173</v>
      </c>
      <c r="D9" s="363">
        <v>1992</v>
      </c>
      <c r="E9" s="364"/>
      <c r="F9" s="364" t="s">
        <v>27</v>
      </c>
      <c r="G9" s="365">
        <v>1</v>
      </c>
      <c r="H9" s="364">
        <v>9</v>
      </c>
      <c r="I9" s="364" t="s">
        <v>99</v>
      </c>
      <c r="J9" s="366">
        <v>17018</v>
      </c>
      <c r="K9" s="366">
        <v>706</v>
      </c>
      <c r="L9" s="366"/>
      <c r="M9" s="366">
        <v>695</v>
      </c>
      <c r="N9" s="366">
        <v>62</v>
      </c>
      <c r="O9" s="366">
        <v>169</v>
      </c>
      <c r="P9" s="366">
        <v>62</v>
      </c>
      <c r="Q9" s="386">
        <v>141</v>
      </c>
      <c r="R9" s="368">
        <v>4417.7</v>
      </c>
      <c r="S9" s="369">
        <v>2632.7</v>
      </c>
      <c r="T9" s="386">
        <f t="shared" si="7"/>
        <v>60</v>
      </c>
      <c r="U9" s="371">
        <f t="shared" si="8"/>
        <v>4302.3</v>
      </c>
      <c r="V9" s="371">
        <f t="shared" si="9"/>
        <v>2569.3999999999996</v>
      </c>
      <c r="W9" s="372">
        <v>2</v>
      </c>
      <c r="X9" s="373">
        <v>115.4</v>
      </c>
      <c r="Y9" s="373">
        <v>63.3</v>
      </c>
      <c r="Z9" s="374"/>
      <c r="AA9" s="374"/>
      <c r="AB9" s="374"/>
      <c r="AC9" s="373">
        <f t="shared" si="10"/>
        <v>0</v>
      </c>
      <c r="AD9" s="368">
        <f t="shared" si="11"/>
        <v>0</v>
      </c>
      <c r="AE9" s="375"/>
      <c r="AF9" s="368">
        <v>0</v>
      </c>
      <c r="AG9" s="375"/>
      <c r="AH9" s="376"/>
      <c r="AI9" s="375">
        <f t="shared" si="12"/>
        <v>4417.7</v>
      </c>
      <c r="AJ9" s="366"/>
      <c r="AK9" s="366">
        <v>2</v>
      </c>
      <c r="AL9" s="366">
        <v>2</v>
      </c>
      <c r="AM9" s="366">
        <v>2</v>
      </c>
      <c r="AN9" s="366"/>
      <c r="AO9" s="366">
        <v>2</v>
      </c>
      <c r="AP9" s="366">
        <v>3930</v>
      </c>
      <c r="AQ9" s="366"/>
      <c r="AR9" s="366">
        <v>262</v>
      </c>
      <c r="AS9" s="366">
        <v>157</v>
      </c>
      <c r="AT9" s="366">
        <v>140</v>
      </c>
      <c r="AU9" s="366">
        <f t="shared" si="0"/>
        <v>7246</v>
      </c>
      <c r="AV9" s="366">
        <v>7246</v>
      </c>
      <c r="AW9" s="366"/>
      <c r="AX9" s="366">
        <v>2140</v>
      </c>
      <c r="AY9" s="366">
        <v>136</v>
      </c>
      <c r="AZ9" s="366">
        <v>663</v>
      </c>
      <c r="BA9" s="366">
        <v>663</v>
      </c>
      <c r="BB9" s="366">
        <v>34</v>
      </c>
      <c r="BC9" s="366">
        <v>4</v>
      </c>
      <c r="BD9" s="366">
        <v>231</v>
      </c>
      <c r="BE9" s="366">
        <v>603</v>
      </c>
      <c r="BF9" s="366">
        <v>2</v>
      </c>
      <c r="BG9" s="366">
        <v>3570</v>
      </c>
      <c r="BH9" s="366">
        <v>1400</v>
      </c>
      <c r="BI9" s="366">
        <v>90</v>
      </c>
      <c r="BJ9" s="366"/>
      <c r="BK9" s="366"/>
      <c r="BL9" s="366"/>
      <c r="BM9" s="366">
        <f>G9</f>
        <v>1</v>
      </c>
      <c r="BN9" s="366">
        <f>R9</f>
        <v>4417.7</v>
      </c>
      <c r="BO9" s="366">
        <f>S9</f>
        <v>2632.7</v>
      </c>
      <c r="BP9" s="366"/>
      <c r="BQ9" s="366"/>
      <c r="BR9" s="366"/>
      <c r="BS9" s="366"/>
      <c r="BT9" s="366">
        <v>2</v>
      </c>
      <c r="BU9" s="366">
        <f>BA9</f>
        <v>663</v>
      </c>
      <c r="BV9" s="366">
        <v>6863</v>
      </c>
      <c r="BW9" s="366"/>
      <c r="BX9" s="366"/>
      <c r="BY9" s="377">
        <v>1183.4000000000001</v>
      </c>
      <c r="BZ9" s="377">
        <v>517.70000000000005</v>
      </c>
      <c r="CA9" s="378">
        <v>1646</v>
      </c>
      <c r="CB9" s="378">
        <f t="shared" si="1"/>
        <v>940</v>
      </c>
      <c r="CC9" s="379">
        <f t="shared" si="2"/>
        <v>1</v>
      </c>
      <c r="CD9" s="380">
        <f t="shared" si="3"/>
        <v>7246</v>
      </c>
      <c r="CE9" s="379" t="str">
        <f t="shared" si="4"/>
        <v>0</v>
      </c>
      <c r="CF9" s="380">
        <f t="shared" si="5"/>
        <v>0</v>
      </c>
      <c r="CG9" s="380">
        <f t="shared" si="13"/>
        <v>1</v>
      </c>
      <c r="CH9" s="380">
        <f t="shared" si="14"/>
        <v>7246</v>
      </c>
      <c r="CI9" s="356">
        <v>29</v>
      </c>
      <c r="CJ9" s="382" t="str">
        <f t="shared" si="15"/>
        <v>0</v>
      </c>
      <c r="CK9" s="382" t="str">
        <f t="shared" si="16"/>
        <v>0</v>
      </c>
      <c r="CL9" s="383">
        <f t="shared" si="17"/>
        <v>2.6122190280009963</v>
      </c>
      <c r="CM9" s="382" t="str">
        <f t="shared" si="18"/>
        <v>0</v>
      </c>
      <c r="CN9" s="382" t="str">
        <f t="shared" si="19"/>
        <v>0</v>
      </c>
      <c r="CO9" s="383">
        <f t="shared" si="20"/>
        <v>2.6122190280009963</v>
      </c>
      <c r="CP9" s="185">
        <v>1</v>
      </c>
      <c r="CQ9" s="185">
        <v>0</v>
      </c>
      <c r="CR9" s="185">
        <v>0</v>
      </c>
      <c r="CS9" s="185">
        <v>0</v>
      </c>
      <c r="CT9" s="185">
        <v>2</v>
      </c>
      <c r="CU9" s="185">
        <v>0</v>
      </c>
      <c r="CV9" s="185">
        <v>0</v>
      </c>
      <c r="CW9" s="185">
        <v>0</v>
      </c>
      <c r="CX9" s="185">
        <v>0</v>
      </c>
      <c r="CY9" s="188">
        <v>62</v>
      </c>
      <c r="CZ9" s="387">
        <v>60</v>
      </c>
      <c r="DA9" s="188">
        <v>2</v>
      </c>
      <c r="DB9" s="185">
        <v>57</v>
      </c>
      <c r="DC9" s="185">
        <v>45</v>
      </c>
      <c r="DD9" s="189">
        <v>93</v>
      </c>
      <c r="DE9" s="185">
        <v>57</v>
      </c>
      <c r="DF9" s="185">
        <v>45</v>
      </c>
      <c r="DG9" s="189">
        <v>93</v>
      </c>
      <c r="DH9" s="185">
        <v>57</v>
      </c>
      <c r="DI9" s="185">
        <v>2</v>
      </c>
      <c r="DJ9" s="185">
        <v>1</v>
      </c>
      <c r="DK9" s="188">
        <v>4</v>
      </c>
      <c r="DL9" s="185">
        <v>2</v>
      </c>
      <c r="DM9" s="185">
        <v>1</v>
      </c>
      <c r="DN9" s="188">
        <v>4</v>
      </c>
      <c r="DO9" s="185">
        <v>2</v>
      </c>
      <c r="DP9" s="184">
        <f t="shared" si="6"/>
        <v>62</v>
      </c>
      <c r="DQ9" s="185">
        <v>62</v>
      </c>
    </row>
    <row r="10" spans="1:122">
      <c r="A10" s="43" t="s">
        <v>95</v>
      </c>
      <c r="B10" s="361">
        <v>4</v>
      </c>
      <c r="C10" s="362" t="s">
        <v>116</v>
      </c>
      <c r="D10" s="363">
        <v>1983</v>
      </c>
      <c r="E10" s="364"/>
      <c r="F10" s="364" t="s">
        <v>28</v>
      </c>
      <c r="G10" s="365">
        <v>1</v>
      </c>
      <c r="H10" s="364">
        <v>9</v>
      </c>
      <c r="I10" s="364" t="s">
        <v>112</v>
      </c>
      <c r="J10" s="366">
        <f>39273+19324+39325+18950</f>
        <v>116872</v>
      </c>
      <c r="K10" s="366">
        <f>1509+760+1540+542</f>
        <v>4351</v>
      </c>
      <c r="L10" s="366"/>
      <c r="M10" s="366">
        <f>1452+721+528+1462</f>
        <v>4163</v>
      </c>
      <c r="N10" s="366">
        <v>402</v>
      </c>
      <c r="O10" s="366">
        <v>1011</v>
      </c>
      <c r="P10" s="366">
        <v>407</v>
      </c>
      <c r="Q10" s="388">
        <v>940</v>
      </c>
      <c r="R10" s="368">
        <v>25019</v>
      </c>
      <c r="S10" s="369">
        <v>15375.3</v>
      </c>
      <c r="T10" s="388">
        <f t="shared" si="7"/>
        <v>364</v>
      </c>
      <c r="U10" s="389">
        <f t="shared" si="8"/>
        <v>22516.9</v>
      </c>
      <c r="V10" s="389">
        <f t="shared" si="9"/>
        <v>13807.8</v>
      </c>
      <c r="W10" s="372">
        <v>38</v>
      </c>
      <c r="X10" s="373">
        <v>2502.1</v>
      </c>
      <c r="Y10" s="373">
        <v>1567.5</v>
      </c>
      <c r="Z10" s="374"/>
      <c r="AA10" s="374"/>
      <c r="AB10" s="374"/>
      <c r="AC10" s="373">
        <f t="shared" si="10"/>
        <v>103.7</v>
      </c>
      <c r="AD10" s="368">
        <f t="shared" si="11"/>
        <v>103.7</v>
      </c>
      <c r="AE10" s="375"/>
      <c r="AF10" s="368">
        <v>103.7</v>
      </c>
      <c r="AG10" s="375"/>
      <c r="AH10" s="376"/>
      <c r="AI10" s="375">
        <f t="shared" ref="AI10:AI46" si="21">R10+AC10</f>
        <v>25122.7</v>
      </c>
      <c r="AJ10" s="366"/>
      <c r="AK10" s="366">
        <f>4+2+1+4</f>
        <v>11</v>
      </c>
      <c r="AL10" s="366">
        <f>4+2+1+4</f>
        <v>11</v>
      </c>
      <c r="AM10" s="366">
        <f>4+2+1+4</f>
        <v>11</v>
      </c>
      <c r="AN10" s="366"/>
      <c r="AO10" s="366">
        <f>4+2+1+4</f>
        <v>11</v>
      </c>
      <c r="AP10" s="366">
        <f>7020+3480+2130+6570</f>
        <v>19200</v>
      </c>
      <c r="AQ10" s="366"/>
      <c r="AR10" s="366">
        <f>1535</f>
        <v>1535</v>
      </c>
      <c r="AS10" s="366">
        <f>549+320+102+550</f>
        <v>1521</v>
      </c>
      <c r="AT10" s="366">
        <f>572+286+143+572</f>
        <v>1573</v>
      </c>
      <c r="AU10" s="366">
        <f t="shared" ref="AU10:AU40" si="22">SUM(AV10+AW10)</f>
        <v>41666</v>
      </c>
      <c r="AV10" s="366">
        <f>14492+7246+5436+14492</f>
        <v>41666</v>
      </c>
      <c r="AW10" s="366"/>
      <c r="AX10" s="366">
        <f>3800+1900+0+3800</f>
        <v>9500</v>
      </c>
      <c r="AY10" s="366">
        <f>337+164+164+130</f>
        <v>795</v>
      </c>
      <c r="AZ10" s="366">
        <f>1428+702+521+1430</f>
        <v>4081</v>
      </c>
      <c r="BA10" s="366">
        <f>1428+702+521+1430</f>
        <v>4081</v>
      </c>
      <c r="BB10" s="366">
        <f>68+34+17+68</f>
        <v>187</v>
      </c>
      <c r="BC10" s="366">
        <f>8+4+8+2</f>
        <v>22</v>
      </c>
      <c r="BD10" s="366">
        <f>514+253+505+141</f>
        <v>1413</v>
      </c>
      <c r="BE10" s="366">
        <f>1354+673+1345+459</f>
        <v>3831</v>
      </c>
      <c r="BF10" s="366"/>
      <c r="BG10" s="366">
        <f>15200+7600+3800+15200</f>
        <v>41800</v>
      </c>
      <c r="BH10" s="366">
        <f>6540+3270+1635+6540</f>
        <v>17985</v>
      </c>
      <c r="BI10" s="366">
        <f>380+90+45+380</f>
        <v>895</v>
      </c>
      <c r="BJ10" s="366"/>
      <c r="BK10" s="366"/>
      <c r="BL10" s="366"/>
      <c r="BM10" s="366"/>
      <c r="BN10" s="366"/>
      <c r="BO10" s="366"/>
      <c r="BP10" s="366">
        <f>G10</f>
        <v>1</v>
      </c>
      <c r="BQ10" s="366">
        <f>R10</f>
        <v>25019</v>
      </c>
      <c r="BR10" s="366">
        <f>S10</f>
        <v>15375.3</v>
      </c>
      <c r="BS10" s="366"/>
      <c r="BT10" s="366">
        <v>6</v>
      </c>
      <c r="BU10" s="366"/>
      <c r="BV10" s="366"/>
      <c r="BW10" s="366"/>
      <c r="BX10" s="366">
        <v>6570</v>
      </c>
      <c r="BY10" s="377">
        <v>5281.2000000000007</v>
      </c>
      <c r="BZ10" s="377">
        <v>4403.6000000000004</v>
      </c>
      <c r="CA10" s="378">
        <f>3030+6440</f>
        <v>9470</v>
      </c>
      <c r="CB10" s="378">
        <f t="shared" si="1"/>
        <v>5119</v>
      </c>
      <c r="CC10" s="379">
        <f t="shared" si="2"/>
        <v>1</v>
      </c>
      <c r="CD10" s="380">
        <f t="shared" si="3"/>
        <v>41666</v>
      </c>
      <c r="CE10" s="379" t="str">
        <f t="shared" si="4"/>
        <v>0</v>
      </c>
      <c r="CF10" s="380">
        <f t="shared" si="5"/>
        <v>0</v>
      </c>
      <c r="CG10" s="380">
        <f t="shared" si="13"/>
        <v>1</v>
      </c>
      <c r="CH10" s="380">
        <f t="shared" si="14"/>
        <v>41666</v>
      </c>
      <c r="CI10" s="356">
        <v>32</v>
      </c>
      <c r="CJ10" s="382" t="str">
        <f t="shared" si="15"/>
        <v>0</v>
      </c>
      <c r="CK10" s="382" t="str">
        <f t="shared" si="16"/>
        <v>0</v>
      </c>
      <c r="CL10" s="383">
        <f t="shared" si="17"/>
        <v>10.00079939246173</v>
      </c>
      <c r="CM10" s="382" t="str">
        <f t="shared" si="18"/>
        <v>0</v>
      </c>
      <c r="CN10" s="382" t="str">
        <f t="shared" si="19"/>
        <v>0</v>
      </c>
      <c r="CO10" s="383">
        <f t="shared" si="20"/>
        <v>10.372292787001395</v>
      </c>
      <c r="CP10" s="185">
        <v>1</v>
      </c>
      <c r="CQ10" s="185">
        <v>0</v>
      </c>
      <c r="CR10" s="185">
        <v>0</v>
      </c>
      <c r="CS10" s="185">
        <v>0</v>
      </c>
      <c r="CT10" s="185">
        <v>6</v>
      </c>
      <c r="CU10" s="185">
        <v>0</v>
      </c>
      <c r="CV10" s="185">
        <v>0</v>
      </c>
      <c r="CW10" s="185">
        <v>0</v>
      </c>
      <c r="CX10" s="185">
        <v>0</v>
      </c>
      <c r="CY10" s="188">
        <v>402</v>
      </c>
      <c r="CZ10" s="387">
        <v>368</v>
      </c>
      <c r="DA10" s="188">
        <v>34</v>
      </c>
      <c r="DB10" s="185">
        <v>356</v>
      </c>
      <c r="DC10" s="185">
        <v>308</v>
      </c>
      <c r="DD10" s="189">
        <v>602</v>
      </c>
      <c r="DE10" s="185">
        <v>459</v>
      </c>
      <c r="DF10" s="185">
        <v>308</v>
      </c>
      <c r="DG10" s="189">
        <v>602</v>
      </c>
      <c r="DH10" s="185">
        <v>469</v>
      </c>
      <c r="DI10" s="185">
        <v>32</v>
      </c>
      <c r="DJ10" s="185">
        <v>10</v>
      </c>
      <c r="DK10" s="188">
        <v>37</v>
      </c>
      <c r="DL10" s="185">
        <v>12</v>
      </c>
      <c r="DM10" s="185">
        <v>10</v>
      </c>
      <c r="DN10" s="188">
        <v>37</v>
      </c>
      <c r="DO10" s="185">
        <v>12</v>
      </c>
      <c r="DP10" s="184">
        <f t="shared" si="6"/>
        <v>402</v>
      </c>
      <c r="DQ10" s="185">
        <v>402</v>
      </c>
    </row>
    <row r="11" spans="1:122">
      <c r="A11" s="43" t="s">
        <v>95</v>
      </c>
      <c r="B11" s="361">
        <v>5</v>
      </c>
      <c r="C11" s="362" t="s">
        <v>68</v>
      </c>
      <c r="D11" s="363">
        <v>1950</v>
      </c>
      <c r="E11" s="364"/>
      <c r="F11" s="364" t="s">
        <v>29</v>
      </c>
      <c r="G11" s="365">
        <v>1</v>
      </c>
      <c r="H11" s="364">
        <v>5</v>
      </c>
      <c r="I11" s="364" t="s">
        <v>100</v>
      </c>
      <c r="J11" s="366">
        <v>51096</v>
      </c>
      <c r="K11" s="366">
        <v>1976</v>
      </c>
      <c r="L11" s="366">
        <v>2406</v>
      </c>
      <c r="M11" s="366">
        <v>0</v>
      </c>
      <c r="N11" s="366">
        <v>64</v>
      </c>
      <c r="O11" s="366">
        <v>166</v>
      </c>
      <c r="P11" s="366">
        <v>69</v>
      </c>
      <c r="Q11" s="388">
        <v>138</v>
      </c>
      <c r="R11" s="368">
        <v>4780.04</v>
      </c>
      <c r="S11" s="369">
        <v>2973.55</v>
      </c>
      <c r="T11" s="388">
        <f t="shared" si="7"/>
        <v>58</v>
      </c>
      <c r="U11" s="371">
        <f t="shared" si="8"/>
        <v>4352.1099999999997</v>
      </c>
      <c r="V11" s="371">
        <f t="shared" si="9"/>
        <v>2702.34</v>
      </c>
      <c r="W11" s="372">
        <v>6</v>
      </c>
      <c r="X11" s="373">
        <v>427.93</v>
      </c>
      <c r="Y11" s="373">
        <v>271.20999999999998</v>
      </c>
      <c r="Z11" s="374"/>
      <c r="AA11" s="374"/>
      <c r="AB11" s="374"/>
      <c r="AC11" s="373">
        <f t="shared" si="10"/>
        <v>2838</v>
      </c>
      <c r="AD11" s="368">
        <f t="shared" si="11"/>
        <v>958.8</v>
      </c>
      <c r="AE11" s="375"/>
      <c r="AF11" s="368">
        <v>958.8</v>
      </c>
      <c r="AG11" s="375">
        <v>1879.2</v>
      </c>
      <c r="AH11" s="376"/>
      <c r="AI11" s="375">
        <f t="shared" si="21"/>
        <v>7618.04</v>
      </c>
      <c r="AJ11" s="366"/>
      <c r="AK11" s="366"/>
      <c r="AL11" s="366">
        <v>5</v>
      </c>
      <c r="AM11" s="366"/>
      <c r="AN11" s="366"/>
      <c r="AO11" s="366">
        <v>1</v>
      </c>
      <c r="AP11" s="366">
        <v>4382</v>
      </c>
      <c r="AQ11" s="366">
        <v>1376</v>
      </c>
      <c r="AR11" s="366">
        <v>435</v>
      </c>
      <c r="AS11" s="366">
        <v>254</v>
      </c>
      <c r="AT11" s="366">
        <v>150</v>
      </c>
      <c r="AU11" s="366">
        <f t="shared" si="22"/>
        <v>4965</v>
      </c>
      <c r="AV11" s="366"/>
      <c r="AW11" s="366">
        <v>4965</v>
      </c>
      <c r="AX11" s="366"/>
      <c r="AY11" s="366">
        <v>157</v>
      </c>
      <c r="AZ11" s="366">
        <v>1968</v>
      </c>
      <c r="BA11" s="366">
        <v>1968</v>
      </c>
      <c r="BB11" s="366">
        <v>25</v>
      </c>
      <c r="BC11" s="366">
        <v>10</v>
      </c>
      <c r="BD11" s="366">
        <v>238</v>
      </c>
      <c r="BE11" s="366">
        <v>628</v>
      </c>
      <c r="BF11" s="366"/>
      <c r="BG11" s="366">
        <v>4868</v>
      </c>
      <c r="BH11" s="366">
        <v>190</v>
      </c>
      <c r="BI11" s="366"/>
      <c r="BJ11" s="366">
        <f>G11</f>
        <v>1</v>
      </c>
      <c r="BK11" s="366">
        <f>R11</f>
        <v>4780.04</v>
      </c>
      <c r="BL11" s="366">
        <f>S11</f>
        <v>2973.55</v>
      </c>
      <c r="BM11" s="366"/>
      <c r="BN11" s="366"/>
      <c r="BO11" s="366"/>
      <c r="BP11" s="366"/>
      <c r="BQ11" s="366"/>
      <c r="BR11" s="366"/>
      <c r="BS11" s="366"/>
      <c r="BT11" s="366">
        <v>2</v>
      </c>
      <c r="BU11" s="366">
        <f>BA11</f>
        <v>1968</v>
      </c>
      <c r="BV11" s="366">
        <v>5180</v>
      </c>
      <c r="BW11" s="366"/>
      <c r="BX11" s="366">
        <f>AP11</f>
        <v>4382</v>
      </c>
      <c r="BY11" s="377">
        <v>529.9</v>
      </c>
      <c r="BZ11" s="377">
        <v>514.97</v>
      </c>
      <c r="CA11" s="378">
        <v>4174</v>
      </c>
      <c r="CB11" s="378">
        <f t="shared" si="1"/>
        <v>2198</v>
      </c>
      <c r="CC11" s="379" t="str">
        <f t="shared" si="2"/>
        <v>0</v>
      </c>
      <c r="CD11" s="380">
        <f t="shared" si="3"/>
        <v>0</v>
      </c>
      <c r="CE11" s="379">
        <f t="shared" si="4"/>
        <v>1</v>
      </c>
      <c r="CF11" s="380">
        <f t="shared" si="5"/>
        <v>4965</v>
      </c>
      <c r="CG11" s="380">
        <f t="shared" si="13"/>
        <v>1</v>
      </c>
      <c r="CH11" s="380">
        <f t="shared" si="14"/>
        <v>4965</v>
      </c>
      <c r="CI11" s="356">
        <v>38</v>
      </c>
      <c r="CJ11" s="382" t="str">
        <f t="shared" si="15"/>
        <v>0</v>
      </c>
      <c r="CK11" s="382" t="str">
        <f t="shared" si="16"/>
        <v>0</v>
      </c>
      <c r="CL11" s="383">
        <f t="shared" si="17"/>
        <v>8.9524355444724311</v>
      </c>
      <c r="CM11" s="382" t="str">
        <f t="shared" si="18"/>
        <v>0</v>
      </c>
      <c r="CN11" s="382" t="str">
        <f t="shared" si="19"/>
        <v>0</v>
      </c>
      <c r="CO11" s="383">
        <f t="shared" si="20"/>
        <v>18.203238628308593</v>
      </c>
      <c r="CP11" s="185">
        <v>1</v>
      </c>
      <c r="CQ11" s="185">
        <v>0</v>
      </c>
      <c r="CR11" s="185">
        <v>0</v>
      </c>
      <c r="CS11" s="185">
        <v>0</v>
      </c>
      <c r="CT11" s="185">
        <v>1</v>
      </c>
      <c r="CU11" s="185">
        <v>0</v>
      </c>
      <c r="CV11" s="185">
        <v>0</v>
      </c>
      <c r="CW11" s="185">
        <v>0</v>
      </c>
      <c r="CX11" s="185">
        <v>0</v>
      </c>
      <c r="CY11" s="188">
        <v>64</v>
      </c>
      <c r="CZ11" s="387">
        <v>61</v>
      </c>
      <c r="DA11" s="188">
        <v>3</v>
      </c>
      <c r="DB11" s="185">
        <v>59</v>
      </c>
      <c r="DC11" s="185">
        <v>18</v>
      </c>
      <c r="DD11" s="189">
        <v>89</v>
      </c>
      <c r="DE11" s="185">
        <v>29</v>
      </c>
      <c r="DF11" s="185">
        <v>18</v>
      </c>
      <c r="DG11" s="189">
        <v>89</v>
      </c>
      <c r="DH11" s="185">
        <v>38</v>
      </c>
      <c r="DI11" s="185">
        <v>3</v>
      </c>
      <c r="DJ11" s="185">
        <v>0</v>
      </c>
      <c r="DK11" s="188">
        <v>12</v>
      </c>
      <c r="DL11" s="185">
        <v>0</v>
      </c>
      <c r="DM11" s="185">
        <v>0</v>
      </c>
      <c r="DN11" s="188">
        <v>12</v>
      </c>
      <c r="DO11" s="185">
        <v>0</v>
      </c>
      <c r="DP11" s="184">
        <f t="shared" si="6"/>
        <v>64</v>
      </c>
      <c r="DQ11" s="185">
        <v>26</v>
      </c>
    </row>
    <row r="12" spans="1:122">
      <c r="A12" s="43" t="s">
        <v>95</v>
      </c>
      <c r="B12" s="361">
        <v>6</v>
      </c>
      <c r="C12" s="362" t="s">
        <v>69</v>
      </c>
      <c r="D12" s="363">
        <v>1983</v>
      </c>
      <c r="E12" s="364"/>
      <c r="F12" s="364" t="s">
        <v>28</v>
      </c>
      <c r="G12" s="365">
        <v>1</v>
      </c>
      <c r="H12" s="364">
        <v>9</v>
      </c>
      <c r="I12" s="364" t="s">
        <v>99</v>
      </c>
      <c r="J12" s="366">
        <v>19852</v>
      </c>
      <c r="K12" s="366">
        <v>718</v>
      </c>
      <c r="L12" s="366"/>
      <c r="M12" s="366">
        <v>722</v>
      </c>
      <c r="N12" s="366">
        <v>70</v>
      </c>
      <c r="O12" s="366">
        <v>196</v>
      </c>
      <c r="P12" s="366">
        <v>70</v>
      </c>
      <c r="Q12" s="388">
        <v>180</v>
      </c>
      <c r="R12" s="368">
        <v>4532.3999999999996</v>
      </c>
      <c r="S12" s="369">
        <v>2887.5</v>
      </c>
      <c r="T12" s="388">
        <f t="shared" si="7"/>
        <v>64</v>
      </c>
      <c r="U12" s="371">
        <f t="shared" si="8"/>
        <v>4140.2999999999993</v>
      </c>
      <c r="V12" s="371">
        <f t="shared" si="9"/>
        <v>2636.8</v>
      </c>
      <c r="W12" s="372">
        <v>6</v>
      </c>
      <c r="X12" s="373">
        <v>392.1</v>
      </c>
      <c r="Y12" s="373">
        <v>250.7</v>
      </c>
      <c r="Z12" s="374"/>
      <c r="AA12" s="374"/>
      <c r="AB12" s="374"/>
      <c r="AC12" s="373">
        <f t="shared" si="10"/>
        <v>0</v>
      </c>
      <c r="AD12" s="368">
        <f t="shared" si="11"/>
        <v>0</v>
      </c>
      <c r="AE12" s="375"/>
      <c r="AF12" s="368">
        <v>0</v>
      </c>
      <c r="AG12" s="375"/>
      <c r="AH12" s="376"/>
      <c r="AI12" s="375">
        <f t="shared" si="21"/>
        <v>4532.3999999999996</v>
      </c>
      <c r="AJ12" s="366"/>
      <c r="AK12" s="366">
        <v>2</v>
      </c>
      <c r="AL12" s="366">
        <v>2</v>
      </c>
      <c r="AM12" s="366">
        <v>2</v>
      </c>
      <c r="AN12" s="366"/>
      <c r="AO12" s="366">
        <v>2</v>
      </c>
      <c r="AP12" s="366">
        <v>3930</v>
      </c>
      <c r="AQ12" s="366"/>
      <c r="AR12" s="366"/>
      <c r="AS12" s="366">
        <v>197</v>
      </c>
      <c r="AT12" s="366">
        <v>286</v>
      </c>
      <c r="AU12" s="366">
        <f t="shared" si="22"/>
        <v>7246</v>
      </c>
      <c r="AV12" s="366">
        <v>7246</v>
      </c>
      <c r="AW12" s="366"/>
      <c r="AX12" s="366">
        <v>2140</v>
      </c>
      <c r="AY12" s="366">
        <v>170</v>
      </c>
      <c r="AZ12" s="366">
        <v>722</v>
      </c>
      <c r="BA12" s="366">
        <v>722</v>
      </c>
      <c r="BB12" s="366">
        <v>34</v>
      </c>
      <c r="BC12" s="366">
        <v>4</v>
      </c>
      <c r="BD12" s="366">
        <v>266</v>
      </c>
      <c r="BE12" s="366">
        <v>686</v>
      </c>
      <c r="BF12" s="366"/>
      <c r="BG12" s="366">
        <v>7600</v>
      </c>
      <c r="BH12" s="366">
        <v>3270</v>
      </c>
      <c r="BI12" s="366">
        <v>90</v>
      </c>
      <c r="BJ12" s="366"/>
      <c r="BK12" s="366"/>
      <c r="BL12" s="366"/>
      <c r="BM12" s="366">
        <f>G12</f>
        <v>1</v>
      </c>
      <c r="BN12" s="366">
        <f>R12</f>
        <v>4532.3999999999996</v>
      </c>
      <c r="BO12" s="366">
        <f>S12</f>
        <v>2887.5</v>
      </c>
      <c r="BP12" s="366"/>
      <c r="BQ12" s="366"/>
      <c r="BR12" s="366"/>
      <c r="BS12" s="366"/>
      <c r="BT12" s="366">
        <v>2</v>
      </c>
      <c r="BU12" s="366"/>
      <c r="BV12" s="366"/>
      <c r="BW12" s="366"/>
      <c r="BX12" s="366"/>
      <c r="BY12" s="377">
        <v>826.40000000000009</v>
      </c>
      <c r="BZ12" s="377">
        <v>778</v>
      </c>
      <c r="CA12" s="378">
        <v>1483</v>
      </c>
      <c r="CB12" s="378">
        <f t="shared" si="1"/>
        <v>765</v>
      </c>
      <c r="CC12" s="379">
        <f t="shared" si="2"/>
        <v>1</v>
      </c>
      <c r="CD12" s="380">
        <f t="shared" si="3"/>
        <v>7246</v>
      </c>
      <c r="CE12" s="379" t="str">
        <f t="shared" si="4"/>
        <v>0</v>
      </c>
      <c r="CF12" s="380">
        <f t="shared" si="5"/>
        <v>0</v>
      </c>
      <c r="CG12" s="380">
        <f t="shared" si="13"/>
        <v>1</v>
      </c>
      <c r="CH12" s="380">
        <f t="shared" si="14"/>
        <v>7246</v>
      </c>
      <c r="CI12" s="356">
        <v>29</v>
      </c>
      <c r="CJ12" s="382" t="str">
        <f t="shared" si="15"/>
        <v>0</v>
      </c>
      <c r="CK12" s="382" t="str">
        <f t="shared" si="16"/>
        <v>0</v>
      </c>
      <c r="CL12" s="383">
        <f t="shared" si="17"/>
        <v>8.6510458035477917</v>
      </c>
      <c r="CM12" s="382" t="str">
        <f t="shared" si="18"/>
        <v>0</v>
      </c>
      <c r="CN12" s="382" t="str">
        <f t="shared" si="19"/>
        <v>0</v>
      </c>
      <c r="CO12" s="383">
        <f t="shared" si="20"/>
        <v>8.6510458035477917</v>
      </c>
      <c r="CP12" s="185">
        <v>1</v>
      </c>
      <c r="CQ12" s="185">
        <v>0</v>
      </c>
      <c r="CR12" s="185">
        <v>0</v>
      </c>
      <c r="CS12" s="185">
        <v>0</v>
      </c>
      <c r="CT12" s="185">
        <v>2</v>
      </c>
      <c r="CU12" s="185">
        <v>0</v>
      </c>
      <c r="CV12" s="185">
        <v>0</v>
      </c>
      <c r="CW12" s="185">
        <v>0</v>
      </c>
      <c r="CX12" s="185">
        <v>0</v>
      </c>
      <c r="CY12" s="188">
        <v>70</v>
      </c>
      <c r="CZ12" s="387">
        <v>65</v>
      </c>
      <c r="DA12" s="188">
        <v>5</v>
      </c>
      <c r="DB12" s="185">
        <v>65</v>
      </c>
      <c r="DC12" s="185">
        <v>43</v>
      </c>
      <c r="DD12" s="189">
        <v>120</v>
      </c>
      <c r="DE12" s="185">
        <v>50</v>
      </c>
      <c r="DF12" s="185">
        <v>43</v>
      </c>
      <c r="DG12" s="189">
        <v>120</v>
      </c>
      <c r="DH12" s="185">
        <v>51</v>
      </c>
      <c r="DI12" s="185">
        <v>3</v>
      </c>
      <c r="DJ12" s="185">
        <v>1</v>
      </c>
      <c r="DK12" s="188">
        <v>5</v>
      </c>
      <c r="DL12" s="185">
        <v>1</v>
      </c>
      <c r="DM12" s="185">
        <v>1</v>
      </c>
      <c r="DN12" s="188">
        <v>5</v>
      </c>
      <c r="DO12" s="185">
        <v>1</v>
      </c>
      <c r="DP12" s="184">
        <f t="shared" si="6"/>
        <v>70</v>
      </c>
      <c r="DQ12" s="185">
        <v>70</v>
      </c>
    </row>
    <row r="13" spans="1:122">
      <c r="A13" s="43" t="s">
        <v>95</v>
      </c>
      <c r="B13" s="361">
        <v>7</v>
      </c>
      <c r="C13" s="362" t="s">
        <v>172</v>
      </c>
      <c r="D13" s="363">
        <v>1983</v>
      </c>
      <c r="E13" s="364"/>
      <c r="F13" s="364" t="s">
        <v>28</v>
      </c>
      <c r="G13" s="365">
        <v>1</v>
      </c>
      <c r="H13" s="364">
        <v>9</v>
      </c>
      <c r="I13" s="364" t="s">
        <v>99</v>
      </c>
      <c r="J13" s="366">
        <v>29545</v>
      </c>
      <c r="K13" s="366">
        <v>1078</v>
      </c>
      <c r="L13" s="366"/>
      <c r="M13" s="366">
        <v>1078</v>
      </c>
      <c r="N13" s="366">
        <v>105</v>
      </c>
      <c r="O13" s="366">
        <v>285</v>
      </c>
      <c r="P13" s="366">
        <v>106</v>
      </c>
      <c r="Q13" s="388">
        <v>245</v>
      </c>
      <c r="R13" s="368">
        <v>6777.4</v>
      </c>
      <c r="S13" s="369">
        <v>4254.1000000000004</v>
      </c>
      <c r="T13" s="388">
        <f t="shared" si="7"/>
        <v>99</v>
      </c>
      <c r="U13" s="371">
        <f t="shared" si="8"/>
        <v>6417.7</v>
      </c>
      <c r="V13" s="371">
        <f t="shared" si="9"/>
        <v>4027.5000000000005</v>
      </c>
      <c r="W13" s="372">
        <v>6</v>
      </c>
      <c r="X13" s="373">
        <v>359.7</v>
      </c>
      <c r="Y13" s="373">
        <v>226.6</v>
      </c>
      <c r="Z13" s="374"/>
      <c r="AA13" s="374"/>
      <c r="AB13" s="374"/>
      <c r="AC13" s="373">
        <f t="shared" si="10"/>
        <v>0</v>
      </c>
      <c r="AD13" s="368">
        <f t="shared" si="11"/>
        <v>0</v>
      </c>
      <c r="AE13" s="375"/>
      <c r="AF13" s="368">
        <v>0</v>
      </c>
      <c r="AG13" s="375"/>
      <c r="AH13" s="376"/>
      <c r="AI13" s="375">
        <f t="shared" si="21"/>
        <v>6777.4</v>
      </c>
      <c r="AJ13" s="366"/>
      <c r="AK13" s="366">
        <v>3</v>
      </c>
      <c r="AL13" s="366">
        <v>3</v>
      </c>
      <c r="AM13" s="366">
        <v>3</v>
      </c>
      <c r="AN13" s="366"/>
      <c r="AO13" s="366">
        <v>3</v>
      </c>
      <c r="AP13" s="366">
        <v>5400</v>
      </c>
      <c r="AQ13" s="366"/>
      <c r="AR13" s="366">
        <v>1204</v>
      </c>
      <c r="AS13" s="366">
        <v>270</v>
      </c>
      <c r="AT13" s="366">
        <v>429</v>
      </c>
      <c r="AU13" s="366">
        <f t="shared" si="22"/>
        <v>10869</v>
      </c>
      <c r="AV13" s="366">
        <v>10869</v>
      </c>
      <c r="AW13" s="366"/>
      <c r="AX13" s="366">
        <v>2970</v>
      </c>
      <c r="AY13" s="366">
        <v>254</v>
      </c>
      <c r="AZ13" s="366">
        <v>1078</v>
      </c>
      <c r="BA13" s="366">
        <v>1078</v>
      </c>
      <c r="BB13" s="366">
        <v>51</v>
      </c>
      <c r="BC13" s="366">
        <v>6</v>
      </c>
      <c r="BD13" s="366">
        <v>390</v>
      </c>
      <c r="BE13" s="366">
        <v>1020</v>
      </c>
      <c r="BF13" s="366"/>
      <c r="BG13" s="366">
        <v>11400</v>
      </c>
      <c r="BH13" s="366">
        <v>4905</v>
      </c>
      <c r="BI13" s="366">
        <v>135</v>
      </c>
      <c r="BJ13" s="366"/>
      <c r="BK13" s="366"/>
      <c r="BL13" s="366"/>
      <c r="BM13" s="366">
        <f>G13</f>
        <v>1</v>
      </c>
      <c r="BN13" s="366">
        <f>R13</f>
        <v>6777.4</v>
      </c>
      <c r="BO13" s="366">
        <f>S13</f>
        <v>4254.1000000000004</v>
      </c>
      <c r="BP13" s="366"/>
      <c r="BQ13" s="366"/>
      <c r="BR13" s="366"/>
      <c r="BS13" s="366"/>
      <c r="BT13" s="366">
        <v>2</v>
      </c>
      <c r="BU13" s="366"/>
      <c r="BV13" s="366"/>
      <c r="BW13" s="366"/>
      <c r="BX13" s="366"/>
      <c r="BY13" s="377">
        <v>1211.4999999999998</v>
      </c>
      <c r="BZ13" s="377">
        <v>1183.8</v>
      </c>
      <c r="CA13" s="378">
        <v>2351</v>
      </c>
      <c r="CB13" s="378">
        <f t="shared" si="1"/>
        <v>1273</v>
      </c>
      <c r="CC13" s="379">
        <f t="shared" si="2"/>
        <v>1</v>
      </c>
      <c r="CD13" s="380">
        <f t="shared" si="3"/>
        <v>10869</v>
      </c>
      <c r="CE13" s="379" t="str">
        <f t="shared" si="4"/>
        <v>0</v>
      </c>
      <c r="CF13" s="380">
        <f t="shared" si="5"/>
        <v>0</v>
      </c>
      <c r="CG13" s="380">
        <f t="shared" si="13"/>
        <v>1</v>
      </c>
      <c r="CH13" s="380">
        <f t="shared" si="14"/>
        <v>10869</v>
      </c>
      <c r="CI13" s="356">
        <v>27</v>
      </c>
      <c r="CJ13" s="382" t="str">
        <f t="shared" si="15"/>
        <v>0</v>
      </c>
      <c r="CK13" s="382" t="str">
        <f t="shared" si="16"/>
        <v>0</v>
      </c>
      <c r="CL13" s="383">
        <f t="shared" si="17"/>
        <v>5.3073449995573529</v>
      </c>
      <c r="CM13" s="382" t="str">
        <f t="shared" si="18"/>
        <v>0</v>
      </c>
      <c r="CN13" s="382" t="str">
        <f t="shared" si="19"/>
        <v>0</v>
      </c>
      <c r="CO13" s="383">
        <f t="shared" si="20"/>
        <v>5.3073449995573529</v>
      </c>
      <c r="CP13" s="185">
        <v>1</v>
      </c>
      <c r="CQ13" s="185">
        <v>0</v>
      </c>
      <c r="CR13" s="185">
        <v>0</v>
      </c>
      <c r="CS13" s="185">
        <v>0</v>
      </c>
      <c r="CT13" s="185">
        <v>2</v>
      </c>
      <c r="CU13" s="185">
        <v>0</v>
      </c>
      <c r="CV13" s="185">
        <v>0</v>
      </c>
      <c r="CW13" s="185">
        <v>0</v>
      </c>
      <c r="CX13" s="185">
        <v>0</v>
      </c>
      <c r="CY13" s="188">
        <v>105</v>
      </c>
      <c r="CZ13" s="387">
        <v>104</v>
      </c>
      <c r="DA13" s="188">
        <v>1</v>
      </c>
      <c r="DB13" s="185">
        <v>100</v>
      </c>
      <c r="DC13" s="185">
        <v>85</v>
      </c>
      <c r="DD13" s="189">
        <v>172</v>
      </c>
      <c r="DE13" s="185">
        <v>90</v>
      </c>
      <c r="DF13" s="185">
        <v>85</v>
      </c>
      <c r="DG13" s="189">
        <v>172</v>
      </c>
      <c r="DH13" s="185">
        <v>90</v>
      </c>
      <c r="DI13" s="185">
        <v>1</v>
      </c>
      <c r="DJ13" s="185">
        <v>1</v>
      </c>
      <c r="DK13" s="188">
        <v>5</v>
      </c>
      <c r="DL13" s="185">
        <v>1</v>
      </c>
      <c r="DM13" s="185">
        <v>1</v>
      </c>
      <c r="DN13" s="188">
        <v>5</v>
      </c>
      <c r="DO13" s="185">
        <v>1</v>
      </c>
      <c r="DP13" s="184">
        <f t="shared" si="6"/>
        <v>105</v>
      </c>
      <c r="DQ13" s="185">
        <v>105</v>
      </c>
    </row>
    <row r="14" spans="1:122">
      <c r="A14" s="43" t="s">
        <v>95</v>
      </c>
      <c r="B14" s="361">
        <v>8</v>
      </c>
      <c r="C14" s="362" t="s">
        <v>70</v>
      </c>
      <c r="D14" s="363">
        <v>1951</v>
      </c>
      <c r="E14" s="364"/>
      <c r="F14" s="364" t="s">
        <v>29</v>
      </c>
      <c r="G14" s="365">
        <v>1</v>
      </c>
      <c r="H14" s="364">
        <v>5</v>
      </c>
      <c r="I14" s="364" t="s">
        <v>100</v>
      </c>
      <c r="J14" s="366">
        <v>42441</v>
      </c>
      <c r="K14" s="366">
        <v>2481</v>
      </c>
      <c r="L14" s="366">
        <v>2647</v>
      </c>
      <c r="M14" s="366">
        <v>0</v>
      </c>
      <c r="N14" s="366">
        <f>85+2</f>
        <v>87</v>
      </c>
      <c r="O14" s="366">
        <f>221+2+2</f>
        <v>225</v>
      </c>
      <c r="P14" s="366">
        <v>93</v>
      </c>
      <c r="Q14" s="388">
        <v>170</v>
      </c>
      <c r="R14" s="368">
        <f>6161.91+66.29+64.29</f>
        <v>6292.49</v>
      </c>
      <c r="S14" s="369">
        <v>3867.9399999999996</v>
      </c>
      <c r="T14" s="388">
        <f t="shared" si="7"/>
        <v>78</v>
      </c>
      <c r="U14" s="371">
        <f t="shared" si="8"/>
        <v>5601.61</v>
      </c>
      <c r="V14" s="371">
        <f t="shared" si="9"/>
        <v>3438.4199999999992</v>
      </c>
      <c r="W14" s="372">
        <v>9</v>
      </c>
      <c r="X14" s="373">
        <v>690.88</v>
      </c>
      <c r="Y14" s="373">
        <v>429.52000000000044</v>
      </c>
      <c r="Z14" s="374"/>
      <c r="AA14" s="374"/>
      <c r="AB14" s="374"/>
      <c r="AC14" s="373">
        <f t="shared" si="10"/>
        <v>1118.6100000000001</v>
      </c>
      <c r="AD14" s="368">
        <f t="shared" si="11"/>
        <v>837.21</v>
      </c>
      <c r="AE14" s="375"/>
      <c r="AF14" s="368">
        <f>967.79-66.29-64.29</f>
        <v>837.21</v>
      </c>
      <c r="AG14" s="375">
        <v>281.39999999999998</v>
      </c>
      <c r="AH14" s="376"/>
      <c r="AI14" s="375">
        <f t="shared" si="21"/>
        <v>7411.1</v>
      </c>
      <c r="AJ14" s="366"/>
      <c r="AK14" s="366"/>
      <c r="AL14" s="366">
        <v>5</v>
      </c>
      <c r="AM14" s="366"/>
      <c r="AN14" s="366"/>
      <c r="AO14" s="366">
        <v>1</v>
      </c>
      <c r="AP14" s="366">
        <v>4364</v>
      </c>
      <c r="AQ14" s="366">
        <v>1376</v>
      </c>
      <c r="AR14" s="366">
        <v>395</v>
      </c>
      <c r="AS14" s="366">
        <v>304</v>
      </c>
      <c r="AT14" s="366">
        <v>150</v>
      </c>
      <c r="AU14" s="366">
        <f t="shared" si="22"/>
        <v>4965</v>
      </c>
      <c r="AV14" s="366"/>
      <c r="AW14" s="366">
        <v>4965</v>
      </c>
      <c r="AX14" s="366"/>
      <c r="AY14" s="366">
        <v>137</v>
      </c>
      <c r="AZ14" s="366">
        <v>1979</v>
      </c>
      <c r="BA14" s="366">
        <v>1979</v>
      </c>
      <c r="BB14" s="366">
        <v>25</v>
      </c>
      <c r="BC14" s="366">
        <v>10</v>
      </c>
      <c r="BD14" s="366">
        <v>229</v>
      </c>
      <c r="BE14" s="366">
        <v>757</v>
      </c>
      <c r="BF14" s="366"/>
      <c r="BG14" s="366">
        <v>6138</v>
      </c>
      <c r="BH14" s="366">
        <v>190</v>
      </c>
      <c r="BI14" s="366"/>
      <c r="BJ14" s="366">
        <f>G14</f>
        <v>1</v>
      </c>
      <c r="BK14" s="366">
        <f>R14</f>
        <v>6292.49</v>
      </c>
      <c r="BL14" s="366">
        <f>S14</f>
        <v>3867.9399999999996</v>
      </c>
      <c r="BM14" s="366"/>
      <c r="BN14" s="366"/>
      <c r="BO14" s="366"/>
      <c r="BP14" s="366"/>
      <c r="BQ14" s="366"/>
      <c r="BR14" s="366"/>
      <c r="BS14" s="366"/>
      <c r="BT14" s="366">
        <v>3</v>
      </c>
      <c r="BU14" s="366">
        <f>BA14</f>
        <v>1979</v>
      </c>
      <c r="BV14" s="366">
        <v>5180</v>
      </c>
      <c r="BW14" s="366"/>
      <c r="BX14" s="366">
        <f>AP14</f>
        <v>4364</v>
      </c>
      <c r="BY14" s="377">
        <v>736.72</v>
      </c>
      <c r="BZ14" s="377">
        <v>736.72</v>
      </c>
      <c r="CA14" s="378">
        <v>5378</v>
      </c>
      <c r="CB14" s="378">
        <f t="shared" si="1"/>
        <v>2897</v>
      </c>
      <c r="CC14" s="379" t="str">
        <f t="shared" si="2"/>
        <v>0</v>
      </c>
      <c r="CD14" s="380">
        <f t="shared" si="3"/>
        <v>0</v>
      </c>
      <c r="CE14" s="379">
        <f t="shared" si="4"/>
        <v>1</v>
      </c>
      <c r="CF14" s="380">
        <f t="shared" si="5"/>
        <v>4965</v>
      </c>
      <c r="CG14" s="380">
        <f t="shared" si="13"/>
        <v>1</v>
      </c>
      <c r="CH14" s="380">
        <f t="shared" si="14"/>
        <v>4965</v>
      </c>
      <c r="CI14" s="356">
        <v>41</v>
      </c>
      <c r="CJ14" s="382" t="str">
        <f t="shared" si="15"/>
        <v>0</v>
      </c>
      <c r="CK14" s="382" t="str">
        <f t="shared" si="16"/>
        <v>0</v>
      </c>
      <c r="CL14" s="383">
        <f t="shared" si="17"/>
        <v>10.979437392828595</v>
      </c>
      <c r="CM14" s="382" t="str">
        <f t="shared" si="18"/>
        <v>0</v>
      </c>
      <c r="CN14" s="382" t="str">
        <f t="shared" si="19"/>
        <v>0</v>
      </c>
      <c r="CO14" s="383">
        <f t="shared" si="20"/>
        <v>20.618936460174602</v>
      </c>
      <c r="CP14" s="185">
        <v>1</v>
      </c>
      <c r="CQ14" s="185">
        <v>0</v>
      </c>
      <c r="CR14" s="185">
        <v>0</v>
      </c>
      <c r="CS14" s="185">
        <v>0</v>
      </c>
      <c r="CT14" s="185">
        <v>2</v>
      </c>
      <c r="CU14" s="185">
        <v>0</v>
      </c>
      <c r="CV14" s="185">
        <v>0</v>
      </c>
      <c r="CW14" s="185">
        <v>0</v>
      </c>
      <c r="CX14" s="185">
        <v>0</v>
      </c>
      <c r="CY14" s="188">
        <v>87</v>
      </c>
      <c r="CZ14" s="387">
        <v>81</v>
      </c>
      <c r="DA14" s="188">
        <v>6</v>
      </c>
      <c r="DB14" s="185">
        <v>72</v>
      </c>
      <c r="DC14" s="185">
        <v>20</v>
      </c>
      <c r="DD14" s="189">
        <v>135</v>
      </c>
      <c r="DE14" s="185">
        <v>33</v>
      </c>
      <c r="DF14" s="185">
        <v>20</v>
      </c>
      <c r="DG14" s="189">
        <v>135</v>
      </c>
      <c r="DH14" s="185">
        <v>38</v>
      </c>
      <c r="DI14" s="185">
        <v>4</v>
      </c>
      <c r="DJ14" s="185">
        <v>0</v>
      </c>
      <c r="DK14" s="188">
        <v>4</v>
      </c>
      <c r="DL14" s="185">
        <v>0</v>
      </c>
      <c r="DM14" s="185">
        <v>0</v>
      </c>
      <c r="DN14" s="188">
        <v>4</v>
      </c>
      <c r="DO14" s="185">
        <v>0</v>
      </c>
      <c r="DP14" s="184">
        <f t="shared" si="6"/>
        <v>87</v>
      </c>
      <c r="DQ14" s="185">
        <v>7</v>
      </c>
    </row>
    <row r="15" spans="1:122">
      <c r="A15" s="43" t="s">
        <v>96</v>
      </c>
      <c r="B15" s="361">
        <v>9</v>
      </c>
      <c r="C15" s="362" t="s">
        <v>71</v>
      </c>
      <c r="D15" s="363">
        <v>1987</v>
      </c>
      <c r="E15" s="364"/>
      <c r="F15" s="364" t="s">
        <v>28</v>
      </c>
      <c r="G15" s="365">
        <v>1</v>
      </c>
      <c r="H15" s="364">
        <v>9</v>
      </c>
      <c r="I15" s="364" t="s">
        <v>99</v>
      </c>
      <c r="J15" s="366">
        <v>30048</v>
      </c>
      <c r="K15" s="366">
        <v>1182</v>
      </c>
      <c r="L15" s="366"/>
      <c r="M15" s="366">
        <v>1124</v>
      </c>
      <c r="N15" s="366">
        <v>105</v>
      </c>
      <c r="O15" s="366">
        <v>285</v>
      </c>
      <c r="P15" s="366">
        <v>105</v>
      </c>
      <c r="Q15" s="388">
        <v>286</v>
      </c>
      <c r="R15" s="368">
        <v>6820.46</v>
      </c>
      <c r="S15" s="369">
        <v>4214.3</v>
      </c>
      <c r="T15" s="388">
        <f t="shared" si="7"/>
        <v>99</v>
      </c>
      <c r="U15" s="371">
        <f t="shared" si="8"/>
        <v>6406.56</v>
      </c>
      <c r="V15" s="371">
        <f t="shared" si="9"/>
        <v>3956</v>
      </c>
      <c r="W15" s="372">
        <v>6</v>
      </c>
      <c r="X15" s="373">
        <v>413.9</v>
      </c>
      <c r="Y15" s="373">
        <v>258.30000000000018</v>
      </c>
      <c r="Z15" s="374"/>
      <c r="AA15" s="374"/>
      <c r="AB15" s="374"/>
      <c r="AC15" s="373">
        <f t="shared" si="10"/>
        <v>0</v>
      </c>
      <c r="AD15" s="368">
        <f t="shared" si="11"/>
        <v>0</v>
      </c>
      <c r="AE15" s="375"/>
      <c r="AF15" s="368">
        <v>0</v>
      </c>
      <c r="AG15" s="375"/>
      <c r="AH15" s="376"/>
      <c r="AI15" s="375">
        <f t="shared" si="21"/>
        <v>6820.46</v>
      </c>
      <c r="AJ15" s="366"/>
      <c r="AK15" s="366">
        <v>3</v>
      </c>
      <c r="AL15" s="366">
        <v>3</v>
      </c>
      <c r="AM15" s="366">
        <v>3</v>
      </c>
      <c r="AN15" s="366"/>
      <c r="AO15" s="366">
        <v>3</v>
      </c>
      <c r="AP15" s="366">
        <v>5400</v>
      </c>
      <c r="AQ15" s="366"/>
      <c r="AR15" s="366">
        <v>390</v>
      </c>
      <c r="AS15" s="366">
        <v>360</v>
      </c>
      <c r="AT15" s="366">
        <v>429</v>
      </c>
      <c r="AU15" s="366">
        <f t="shared" si="22"/>
        <v>6369</v>
      </c>
      <c r="AV15" s="366"/>
      <c r="AW15" s="366">
        <v>6369</v>
      </c>
      <c r="AX15" s="366">
        <v>2970</v>
      </c>
      <c r="AY15" s="366">
        <v>185</v>
      </c>
      <c r="AZ15" s="366">
        <v>1083</v>
      </c>
      <c r="BA15" s="366">
        <v>1083</v>
      </c>
      <c r="BB15" s="366">
        <v>51</v>
      </c>
      <c r="BC15" s="366">
        <v>6</v>
      </c>
      <c r="BD15" s="366">
        <v>390</v>
      </c>
      <c r="BE15" s="366">
        <v>1020</v>
      </c>
      <c r="BF15" s="366"/>
      <c r="BG15" s="366">
        <v>11400</v>
      </c>
      <c r="BH15" s="366">
        <v>4905</v>
      </c>
      <c r="BI15" s="366">
        <v>135</v>
      </c>
      <c r="BJ15" s="366"/>
      <c r="BK15" s="366"/>
      <c r="BL15" s="366"/>
      <c r="BM15" s="366">
        <f>G15</f>
        <v>1</v>
      </c>
      <c r="BN15" s="366">
        <f>R15</f>
        <v>6820.46</v>
      </c>
      <c r="BO15" s="366">
        <f>S15</f>
        <v>4214.3</v>
      </c>
      <c r="BP15" s="366"/>
      <c r="BQ15" s="366"/>
      <c r="BR15" s="366"/>
      <c r="BS15" s="366"/>
      <c r="BT15" s="366">
        <v>2</v>
      </c>
      <c r="BU15" s="366"/>
      <c r="BV15" s="366"/>
      <c r="BW15" s="366"/>
      <c r="BX15" s="366"/>
      <c r="BY15" s="377">
        <v>1262.5000000000002</v>
      </c>
      <c r="BZ15" s="377">
        <v>1187.1400000000001</v>
      </c>
      <c r="CA15" s="378">
        <v>2521</v>
      </c>
      <c r="CB15" s="378">
        <f t="shared" si="1"/>
        <v>1339</v>
      </c>
      <c r="CC15" s="379" t="str">
        <f t="shared" si="2"/>
        <v>0</v>
      </c>
      <c r="CD15" s="380">
        <f t="shared" si="3"/>
        <v>0</v>
      </c>
      <c r="CE15" s="379">
        <f t="shared" si="4"/>
        <v>1</v>
      </c>
      <c r="CF15" s="380">
        <f t="shared" si="5"/>
        <v>6369</v>
      </c>
      <c r="CG15" s="380">
        <f t="shared" si="13"/>
        <v>1</v>
      </c>
      <c r="CH15" s="380">
        <f t="shared" si="14"/>
        <v>6369</v>
      </c>
      <c r="CI15" s="356">
        <v>33</v>
      </c>
      <c r="CJ15" s="382" t="str">
        <f t="shared" si="15"/>
        <v>0</v>
      </c>
      <c r="CK15" s="382" t="str">
        <f t="shared" si="16"/>
        <v>0</v>
      </c>
      <c r="CL15" s="383">
        <f t="shared" si="17"/>
        <v>6.0685056433143796</v>
      </c>
      <c r="CM15" s="382" t="str">
        <f t="shared" si="18"/>
        <v>0</v>
      </c>
      <c r="CN15" s="382" t="str">
        <f t="shared" si="19"/>
        <v>0</v>
      </c>
      <c r="CO15" s="383">
        <f t="shared" si="20"/>
        <v>6.0685056433143796</v>
      </c>
      <c r="CP15" s="185">
        <v>1</v>
      </c>
      <c r="CQ15" s="185">
        <v>0</v>
      </c>
      <c r="CR15" s="185">
        <v>0</v>
      </c>
      <c r="CS15" s="185">
        <v>0</v>
      </c>
      <c r="CT15" s="185">
        <v>2</v>
      </c>
      <c r="CU15" s="185">
        <v>0</v>
      </c>
      <c r="CV15" s="185">
        <v>0</v>
      </c>
      <c r="CW15" s="185">
        <v>0</v>
      </c>
      <c r="CX15" s="185">
        <v>0</v>
      </c>
      <c r="CY15" s="188">
        <v>105</v>
      </c>
      <c r="CZ15" s="387">
        <v>100</v>
      </c>
      <c r="DA15" s="188">
        <v>5</v>
      </c>
      <c r="DB15" s="185">
        <v>99</v>
      </c>
      <c r="DC15" s="185">
        <v>63</v>
      </c>
      <c r="DD15" s="189">
        <v>171</v>
      </c>
      <c r="DE15" s="185">
        <v>84</v>
      </c>
      <c r="DF15" s="185">
        <v>63</v>
      </c>
      <c r="DG15" s="189">
        <v>171</v>
      </c>
      <c r="DH15" s="185">
        <v>84</v>
      </c>
      <c r="DI15" s="185">
        <v>5</v>
      </c>
      <c r="DJ15" s="185">
        <v>1</v>
      </c>
      <c r="DK15" s="188">
        <v>5</v>
      </c>
      <c r="DL15" s="185">
        <v>1</v>
      </c>
      <c r="DM15" s="185">
        <v>1</v>
      </c>
      <c r="DN15" s="188">
        <v>5</v>
      </c>
      <c r="DO15" s="185">
        <v>1</v>
      </c>
      <c r="DP15" s="184">
        <f t="shared" si="6"/>
        <v>105</v>
      </c>
      <c r="DQ15" s="185">
        <v>105</v>
      </c>
    </row>
    <row r="16" spans="1:122" s="58" customFormat="1">
      <c r="A16" s="43" t="s">
        <v>96</v>
      </c>
      <c r="B16" s="361">
        <v>10</v>
      </c>
      <c r="C16" s="362" t="s">
        <v>72</v>
      </c>
      <c r="D16" s="363">
        <v>1951</v>
      </c>
      <c r="E16" s="364"/>
      <c r="F16" s="364" t="s">
        <v>29</v>
      </c>
      <c r="G16" s="365">
        <v>1</v>
      </c>
      <c r="H16" s="364">
        <v>5</v>
      </c>
      <c r="I16" s="364" t="s">
        <v>100</v>
      </c>
      <c r="J16" s="366">
        <v>36797</v>
      </c>
      <c r="K16" s="366">
        <v>1979</v>
      </c>
      <c r="L16" s="366">
        <v>2869</v>
      </c>
      <c r="M16" s="366"/>
      <c r="N16" s="366">
        <v>80</v>
      </c>
      <c r="O16" s="366">
        <v>176</v>
      </c>
      <c r="P16" s="366">
        <v>87</v>
      </c>
      <c r="Q16" s="388">
        <v>162</v>
      </c>
      <c r="R16" s="368">
        <v>5274.6</v>
      </c>
      <c r="S16" s="369">
        <v>2903.7</v>
      </c>
      <c r="T16" s="388">
        <f t="shared" si="7"/>
        <v>75</v>
      </c>
      <c r="U16" s="371">
        <f t="shared" si="8"/>
        <v>4956.9000000000005</v>
      </c>
      <c r="V16" s="371">
        <f t="shared" si="9"/>
        <v>2734.3999999999996</v>
      </c>
      <c r="W16" s="372">
        <v>5</v>
      </c>
      <c r="X16" s="373">
        <v>317.7</v>
      </c>
      <c r="Y16" s="373">
        <v>169.3</v>
      </c>
      <c r="Z16" s="374"/>
      <c r="AA16" s="374"/>
      <c r="AB16" s="374"/>
      <c r="AC16" s="373">
        <f t="shared" si="10"/>
        <v>3793.18</v>
      </c>
      <c r="AD16" s="368">
        <f t="shared" si="11"/>
        <v>1069.1799999999998</v>
      </c>
      <c r="AE16" s="375"/>
      <c r="AF16" s="368">
        <f>3547.48-2478.3</f>
        <v>1069.1799999999998</v>
      </c>
      <c r="AG16" s="375">
        <f>245.7+2478.3</f>
        <v>2724</v>
      </c>
      <c r="AH16" s="376"/>
      <c r="AI16" s="375">
        <f t="shared" si="21"/>
        <v>9067.7800000000007</v>
      </c>
      <c r="AJ16" s="366"/>
      <c r="AK16" s="366"/>
      <c r="AL16" s="366">
        <v>5</v>
      </c>
      <c r="AM16" s="366"/>
      <c r="AN16" s="366"/>
      <c r="AO16" s="366">
        <v>1</v>
      </c>
      <c r="AP16" s="366">
        <v>5950</v>
      </c>
      <c r="AQ16" s="366">
        <v>1376</v>
      </c>
      <c r="AR16" s="366">
        <v>290</v>
      </c>
      <c r="AS16" s="366">
        <v>517</v>
      </c>
      <c r="AT16" s="366">
        <v>150</v>
      </c>
      <c r="AU16" s="366">
        <f t="shared" si="22"/>
        <v>4965</v>
      </c>
      <c r="AV16" s="366"/>
      <c r="AW16" s="366">
        <v>4965</v>
      </c>
      <c r="AX16" s="366"/>
      <c r="AY16" s="366">
        <v>488</v>
      </c>
      <c r="AZ16" s="366">
        <v>2400</v>
      </c>
      <c r="BA16" s="366">
        <v>2400</v>
      </c>
      <c r="BB16" s="366">
        <v>25</v>
      </c>
      <c r="BC16" s="366">
        <v>10</v>
      </c>
      <c r="BD16" s="366">
        <v>256</v>
      </c>
      <c r="BE16" s="366">
        <v>736</v>
      </c>
      <c r="BF16" s="366"/>
      <c r="BG16" s="366">
        <v>11102</v>
      </c>
      <c r="BH16" s="366">
        <v>190</v>
      </c>
      <c r="BI16" s="366"/>
      <c r="BJ16" s="366">
        <f>G16</f>
        <v>1</v>
      </c>
      <c r="BK16" s="366">
        <f>R16</f>
        <v>5274.6</v>
      </c>
      <c r="BL16" s="366">
        <f>S16</f>
        <v>2903.7</v>
      </c>
      <c r="BM16" s="366"/>
      <c r="BN16" s="366"/>
      <c r="BO16" s="366"/>
      <c r="BP16" s="366"/>
      <c r="BQ16" s="366"/>
      <c r="BR16" s="366"/>
      <c r="BS16" s="366"/>
      <c r="BT16" s="366">
        <v>5</v>
      </c>
      <c r="BU16" s="366">
        <f>BA16</f>
        <v>2400</v>
      </c>
      <c r="BV16" s="366">
        <v>5895</v>
      </c>
      <c r="BW16" s="366"/>
      <c r="BX16" s="366">
        <f>AP16</f>
        <v>5950</v>
      </c>
      <c r="BY16" s="377">
        <v>654.80000000000007</v>
      </c>
      <c r="BZ16" s="377">
        <v>654.79999999999995</v>
      </c>
      <c r="CA16" s="378">
        <v>4552</v>
      </c>
      <c r="CB16" s="378">
        <f t="shared" si="1"/>
        <v>2573</v>
      </c>
      <c r="CC16" s="379" t="str">
        <f t="shared" si="2"/>
        <v>0</v>
      </c>
      <c r="CD16" s="380">
        <f t="shared" si="3"/>
        <v>0</v>
      </c>
      <c r="CE16" s="379">
        <f t="shared" si="4"/>
        <v>1</v>
      </c>
      <c r="CF16" s="380">
        <f t="shared" si="5"/>
        <v>4965</v>
      </c>
      <c r="CG16" s="380">
        <f t="shared" si="13"/>
        <v>1</v>
      </c>
      <c r="CH16" s="380">
        <f t="shared" si="14"/>
        <v>4965</v>
      </c>
      <c r="CI16" s="381">
        <v>42</v>
      </c>
      <c r="CJ16" s="382" t="str">
        <f t="shared" si="15"/>
        <v>0</v>
      </c>
      <c r="CK16" s="382" t="str">
        <f t="shared" si="16"/>
        <v>0</v>
      </c>
      <c r="CL16" s="383">
        <f t="shared" si="17"/>
        <v>6.0232055511318388</v>
      </c>
      <c r="CM16" s="382" t="str">
        <f t="shared" si="18"/>
        <v>0</v>
      </c>
      <c r="CN16" s="382" t="str">
        <f t="shared" si="19"/>
        <v>0</v>
      </c>
      <c r="CO16" s="383">
        <f t="shared" si="20"/>
        <v>15.294592502244209</v>
      </c>
      <c r="CP16" s="185">
        <v>1</v>
      </c>
      <c r="CQ16" s="185">
        <v>0</v>
      </c>
      <c r="CR16" s="185">
        <v>0</v>
      </c>
      <c r="CS16" s="185">
        <v>0</v>
      </c>
      <c r="CT16" s="185">
        <v>2</v>
      </c>
      <c r="CU16" s="185">
        <v>0</v>
      </c>
      <c r="CV16" s="185">
        <v>0</v>
      </c>
      <c r="CW16" s="185">
        <v>0</v>
      </c>
      <c r="CX16" s="185">
        <v>0</v>
      </c>
      <c r="CY16" s="188">
        <v>80</v>
      </c>
      <c r="CZ16" s="387">
        <v>78</v>
      </c>
      <c r="DA16" s="188">
        <v>2</v>
      </c>
      <c r="DB16" s="185">
        <v>71</v>
      </c>
      <c r="DC16" s="185">
        <v>35</v>
      </c>
      <c r="DD16" s="189">
        <v>105</v>
      </c>
      <c r="DE16" s="185">
        <v>48</v>
      </c>
      <c r="DF16" s="185">
        <v>35</v>
      </c>
      <c r="DG16" s="189">
        <v>105</v>
      </c>
      <c r="DH16" s="185">
        <v>48</v>
      </c>
      <c r="DI16" s="185">
        <v>1</v>
      </c>
      <c r="DJ16" s="185">
        <v>0</v>
      </c>
      <c r="DK16" s="188">
        <v>0</v>
      </c>
      <c r="DL16" s="185">
        <v>0</v>
      </c>
      <c r="DM16" s="185">
        <v>0</v>
      </c>
      <c r="DN16" s="188">
        <v>0</v>
      </c>
      <c r="DO16" s="185">
        <v>0</v>
      </c>
      <c r="DP16" s="184">
        <f t="shared" si="6"/>
        <v>80</v>
      </c>
      <c r="DQ16" s="185">
        <v>42</v>
      </c>
      <c r="DR16" s="385"/>
    </row>
    <row r="17" spans="1:122" s="58" customFormat="1">
      <c r="A17" s="43" t="s">
        <v>96</v>
      </c>
      <c r="B17" s="361">
        <v>11</v>
      </c>
      <c r="C17" s="362" t="s">
        <v>73</v>
      </c>
      <c r="D17" s="363">
        <v>1987</v>
      </c>
      <c r="E17" s="364"/>
      <c r="F17" s="364" t="s">
        <v>28</v>
      </c>
      <c r="G17" s="365">
        <v>1</v>
      </c>
      <c r="H17" s="364">
        <v>9</v>
      </c>
      <c r="I17" s="364" t="s">
        <v>99</v>
      </c>
      <c r="J17" s="366">
        <v>29303</v>
      </c>
      <c r="K17" s="366">
        <v>1200</v>
      </c>
      <c r="L17" s="366"/>
      <c r="M17" s="366">
        <v>1122</v>
      </c>
      <c r="N17" s="366">
        <v>105</v>
      </c>
      <c r="O17" s="366">
        <v>285</v>
      </c>
      <c r="P17" s="366">
        <v>105</v>
      </c>
      <c r="Q17" s="388">
        <v>238</v>
      </c>
      <c r="R17" s="368">
        <v>6814</v>
      </c>
      <c r="S17" s="369">
        <v>4203.1000000000004</v>
      </c>
      <c r="T17" s="388">
        <f t="shared" si="7"/>
        <v>101</v>
      </c>
      <c r="U17" s="371">
        <f t="shared" si="8"/>
        <v>6533</v>
      </c>
      <c r="V17" s="371">
        <f t="shared" si="9"/>
        <v>4032.8</v>
      </c>
      <c r="W17" s="372">
        <v>4</v>
      </c>
      <c r="X17" s="373">
        <v>281</v>
      </c>
      <c r="Y17" s="373">
        <v>170.3</v>
      </c>
      <c r="Z17" s="374"/>
      <c r="AA17" s="374"/>
      <c r="AB17" s="374"/>
      <c r="AC17" s="373">
        <f t="shared" si="10"/>
        <v>0</v>
      </c>
      <c r="AD17" s="368">
        <f t="shared" si="11"/>
        <v>0</v>
      </c>
      <c r="AE17" s="375"/>
      <c r="AF17" s="368">
        <v>0</v>
      </c>
      <c r="AG17" s="375"/>
      <c r="AH17" s="376"/>
      <c r="AI17" s="375">
        <f t="shared" si="21"/>
        <v>6814</v>
      </c>
      <c r="AJ17" s="366"/>
      <c r="AK17" s="366">
        <v>3</v>
      </c>
      <c r="AL17" s="366">
        <v>3</v>
      </c>
      <c r="AM17" s="366">
        <v>3</v>
      </c>
      <c r="AN17" s="366"/>
      <c r="AO17" s="366">
        <v>3</v>
      </c>
      <c r="AP17" s="366">
        <v>5400</v>
      </c>
      <c r="AQ17" s="366"/>
      <c r="AR17" s="366">
        <v>345</v>
      </c>
      <c r="AS17" s="366">
        <v>396</v>
      </c>
      <c r="AT17" s="366">
        <v>429</v>
      </c>
      <c r="AU17" s="366">
        <f t="shared" si="22"/>
        <v>10869</v>
      </c>
      <c r="AV17" s="366"/>
      <c r="AW17" s="366">
        <v>10869</v>
      </c>
      <c r="AX17" s="366">
        <v>2970</v>
      </c>
      <c r="AY17" s="366">
        <v>180</v>
      </c>
      <c r="AZ17" s="366">
        <v>1081</v>
      </c>
      <c r="BA17" s="366">
        <v>1081</v>
      </c>
      <c r="BB17" s="366">
        <v>51</v>
      </c>
      <c r="BC17" s="366">
        <v>6</v>
      </c>
      <c r="BD17" s="366">
        <v>389</v>
      </c>
      <c r="BE17" s="366">
        <v>1020</v>
      </c>
      <c r="BF17" s="366"/>
      <c r="BG17" s="366">
        <v>11400</v>
      </c>
      <c r="BH17" s="366">
        <v>4905</v>
      </c>
      <c r="BI17" s="366">
        <v>1345</v>
      </c>
      <c r="BJ17" s="366"/>
      <c r="BK17" s="366"/>
      <c r="BL17" s="366"/>
      <c r="BM17" s="366">
        <f>G17</f>
        <v>1</v>
      </c>
      <c r="BN17" s="366">
        <f>R17</f>
        <v>6814</v>
      </c>
      <c r="BO17" s="366">
        <f>S17</f>
        <v>4203.1000000000004</v>
      </c>
      <c r="BP17" s="366"/>
      <c r="BQ17" s="366"/>
      <c r="BR17" s="366"/>
      <c r="BS17" s="366"/>
      <c r="BT17" s="366">
        <v>2</v>
      </c>
      <c r="BU17" s="366"/>
      <c r="BV17" s="366"/>
      <c r="BW17" s="366"/>
      <c r="BX17" s="366"/>
      <c r="BY17" s="377">
        <v>2159.7000000000003</v>
      </c>
      <c r="BZ17" s="377">
        <v>1171.5999999999999</v>
      </c>
      <c r="CA17" s="378">
        <v>2427</v>
      </c>
      <c r="CB17" s="378">
        <f t="shared" si="1"/>
        <v>1227</v>
      </c>
      <c r="CC17" s="379" t="str">
        <f t="shared" si="2"/>
        <v>0</v>
      </c>
      <c r="CD17" s="380">
        <f t="shared" si="3"/>
        <v>0</v>
      </c>
      <c r="CE17" s="379">
        <f t="shared" si="4"/>
        <v>1</v>
      </c>
      <c r="CF17" s="380">
        <f t="shared" si="5"/>
        <v>10869</v>
      </c>
      <c r="CG17" s="380">
        <f t="shared" si="13"/>
        <v>1</v>
      </c>
      <c r="CH17" s="380">
        <f t="shared" si="14"/>
        <v>10869</v>
      </c>
      <c r="CI17" s="381">
        <v>27</v>
      </c>
      <c r="CJ17" s="382" t="str">
        <f t="shared" si="15"/>
        <v>0</v>
      </c>
      <c r="CK17" s="382" t="str">
        <f t="shared" si="16"/>
        <v>0</v>
      </c>
      <c r="CL17" s="383">
        <f t="shared" si="17"/>
        <v>4.1238626357499264</v>
      </c>
      <c r="CM17" s="382" t="str">
        <f t="shared" si="18"/>
        <v>0</v>
      </c>
      <c r="CN17" s="382" t="str">
        <f t="shared" si="19"/>
        <v>0</v>
      </c>
      <c r="CO17" s="383">
        <f t="shared" si="20"/>
        <v>4.1238626357499264</v>
      </c>
      <c r="CP17" s="185">
        <v>1</v>
      </c>
      <c r="CQ17" s="185">
        <v>0</v>
      </c>
      <c r="CR17" s="185">
        <v>0</v>
      </c>
      <c r="CS17" s="185">
        <v>0</v>
      </c>
      <c r="CT17" s="185">
        <v>2</v>
      </c>
      <c r="CU17" s="185">
        <v>0</v>
      </c>
      <c r="CV17" s="185">
        <v>0</v>
      </c>
      <c r="CW17" s="185">
        <v>0</v>
      </c>
      <c r="CX17" s="185">
        <v>0</v>
      </c>
      <c r="CY17" s="188">
        <v>105</v>
      </c>
      <c r="CZ17" s="387">
        <v>102</v>
      </c>
      <c r="DA17" s="188">
        <v>3</v>
      </c>
      <c r="DB17" s="185">
        <v>99</v>
      </c>
      <c r="DC17" s="185">
        <v>61</v>
      </c>
      <c r="DD17" s="189">
        <v>173</v>
      </c>
      <c r="DE17" s="185">
        <v>77</v>
      </c>
      <c r="DF17" s="185">
        <v>61</v>
      </c>
      <c r="DG17" s="189">
        <v>173</v>
      </c>
      <c r="DH17" s="185">
        <v>79</v>
      </c>
      <c r="DI17" s="185">
        <v>1</v>
      </c>
      <c r="DJ17" s="185">
        <v>2</v>
      </c>
      <c r="DK17" s="188">
        <v>4</v>
      </c>
      <c r="DL17" s="185">
        <v>3</v>
      </c>
      <c r="DM17" s="185">
        <v>2</v>
      </c>
      <c r="DN17" s="188">
        <v>4</v>
      </c>
      <c r="DO17" s="185">
        <v>3</v>
      </c>
      <c r="DP17" s="184">
        <f t="shared" si="6"/>
        <v>105</v>
      </c>
      <c r="DQ17" s="185">
        <v>105</v>
      </c>
      <c r="DR17" s="385"/>
    </row>
    <row r="18" spans="1:122" s="58" customFormat="1">
      <c r="A18" s="43" t="s">
        <v>96</v>
      </c>
      <c r="B18" s="361">
        <v>12</v>
      </c>
      <c r="C18" s="362" t="s">
        <v>74</v>
      </c>
      <c r="D18" s="363">
        <v>1954</v>
      </c>
      <c r="E18" s="364"/>
      <c r="F18" s="364" t="s">
        <v>29</v>
      </c>
      <c r="G18" s="365">
        <v>1</v>
      </c>
      <c r="H18" s="364">
        <v>5</v>
      </c>
      <c r="I18" s="364" t="s">
        <v>100</v>
      </c>
      <c r="J18" s="366">
        <v>37017</v>
      </c>
      <c r="K18" s="366">
        <v>2314</v>
      </c>
      <c r="L18" s="366">
        <v>2838</v>
      </c>
      <c r="M18" s="366">
        <v>0</v>
      </c>
      <c r="N18" s="366">
        <v>95</v>
      </c>
      <c r="O18" s="366">
        <v>231</v>
      </c>
      <c r="P18" s="366">
        <v>98</v>
      </c>
      <c r="Q18" s="390">
        <v>189</v>
      </c>
      <c r="R18" s="368">
        <v>6262.63</v>
      </c>
      <c r="S18" s="369">
        <v>3781.77</v>
      </c>
      <c r="T18" s="390">
        <f t="shared" si="7"/>
        <v>93</v>
      </c>
      <c r="U18" s="371">
        <f t="shared" si="8"/>
        <v>6136.55</v>
      </c>
      <c r="V18" s="371">
        <f t="shared" si="9"/>
        <v>3707.6599999999985</v>
      </c>
      <c r="W18" s="372">
        <v>2</v>
      </c>
      <c r="X18" s="373">
        <v>126.08</v>
      </c>
      <c r="Y18" s="373">
        <v>74.110000000001492</v>
      </c>
      <c r="Z18" s="374"/>
      <c r="AA18" s="374"/>
      <c r="AB18" s="374"/>
      <c r="AC18" s="373">
        <f t="shared" si="10"/>
        <v>1913.3</v>
      </c>
      <c r="AD18" s="368">
        <f t="shared" si="11"/>
        <v>1587.3</v>
      </c>
      <c r="AE18" s="375"/>
      <c r="AF18" s="368">
        <v>1587.3</v>
      </c>
      <c r="AG18" s="375">
        <v>326</v>
      </c>
      <c r="AH18" s="376"/>
      <c r="AI18" s="375">
        <f t="shared" si="21"/>
        <v>8175.93</v>
      </c>
      <c r="AJ18" s="366"/>
      <c r="AK18" s="366"/>
      <c r="AL18" s="366">
        <v>5</v>
      </c>
      <c r="AM18" s="366"/>
      <c r="AN18" s="366"/>
      <c r="AO18" s="366">
        <v>2</v>
      </c>
      <c r="AP18" s="366">
        <v>5640</v>
      </c>
      <c r="AQ18" s="366">
        <v>1500</v>
      </c>
      <c r="AR18" s="366">
        <v>505</v>
      </c>
      <c r="AS18" s="366">
        <v>490</v>
      </c>
      <c r="AT18" s="366">
        <v>150</v>
      </c>
      <c r="AU18" s="366">
        <f t="shared" si="22"/>
        <v>4965</v>
      </c>
      <c r="AV18" s="366"/>
      <c r="AW18" s="366">
        <v>4965</v>
      </c>
      <c r="AX18" s="366"/>
      <c r="AY18" s="366">
        <v>144</v>
      </c>
      <c r="AZ18" s="366">
        <v>2300</v>
      </c>
      <c r="BA18" s="366">
        <v>2300</v>
      </c>
      <c r="BB18" s="366">
        <v>25</v>
      </c>
      <c r="BC18" s="366">
        <v>12</v>
      </c>
      <c r="BD18" s="366">
        <v>420</v>
      </c>
      <c r="BE18" s="366">
        <v>1040</v>
      </c>
      <c r="BF18" s="366"/>
      <c r="BG18" s="366">
        <v>7110</v>
      </c>
      <c r="BH18" s="366">
        <v>190</v>
      </c>
      <c r="BI18" s="366"/>
      <c r="BJ18" s="366">
        <f>G18</f>
        <v>1</v>
      </c>
      <c r="BK18" s="366">
        <f>R18</f>
        <v>6262.63</v>
      </c>
      <c r="BL18" s="366">
        <f>S18</f>
        <v>3781.77</v>
      </c>
      <c r="BM18" s="366"/>
      <c r="BN18" s="366"/>
      <c r="BO18" s="366"/>
      <c r="BP18" s="366"/>
      <c r="BQ18" s="366"/>
      <c r="BR18" s="366"/>
      <c r="BS18" s="366"/>
      <c r="BT18" s="366">
        <v>6</v>
      </c>
      <c r="BU18" s="366">
        <f>BA18</f>
        <v>2300</v>
      </c>
      <c r="BV18" s="366">
        <v>6725</v>
      </c>
      <c r="BW18" s="366"/>
      <c r="BX18" s="366">
        <f>AP18</f>
        <v>5640</v>
      </c>
      <c r="BY18" s="377">
        <v>620.97</v>
      </c>
      <c r="BZ18" s="377">
        <v>571.65</v>
      </c>
      <c r="CA18" s="378">
        <v>5109</v>
      </c>
      <c r="CB18" s="378">
        <f t="shared" si="1"/>
        <v>2795</v>
      </c>
      <c r="CC18" s="379" t="str">
        <f t="shared" si="2"/>
        <v>0</v>
      </c>
      <c r="CD18" s="380">
        <f t="shared" si="3"/>
        <v>0</v>
      </c>
      <c r="CE18" s="379">
        <f t="shared" si="4"/>
        <v>1</v>
      </c>
      <c r="CF18" s="380">
        <f t="shared" si="5"/>
        <v>4965</v>
      </c>
      <c r="CG18" s="380">
        <f t="shared" si="13"/>
        <v>1</v>
      </c>
      <c r="CH18" s="380">
        <f t="shared" si="14"/>
        <v>4965</v>
      </c>
      <c r="CI18" s="381">
        <v>44</v>
      </c>
      <c r="CJ18" s="382" t="str">
        <f t="shared" si="15"/>
        <v>0</v>
      </c>
      <c r="CK18" s="382" t="str">
        <f t="shared" si="16"/>
        <v>0</v>
      </c>
      <c r="CL18" s="383">
        <f t="shared" si="17"/>
        <v>2.0132117017930167</v>
      </c>
      <c r="CM18" s="382" t="str">
        <f t="shared" si="18"/>
        <v>0</v>
      </c>
      <c r="CN18" s="382" t="str">
        <f t="shared" si="19"/>
        <v>0</v>
      </c>
      <c r="CO18" s="383">
        <f t="shared" si="20"/>
        <v>20.956392728411323</v>
      </c>
      <c r="CP18" s="185">
        <v>1</v>
      </c>
      <c r="CQ18" s="185">
        <v>0</v>
      </c>
      <c r="CR18" s="185">
        <v>0</v>
      </c>
      <c r="CS18" s="185">
        <v>0</v>
      </c>
      <c r="CT18" s="185">
        <v>1</v>
      </c>
      <c r="CU18" s="185">
        <v>0</v>
      </c>
      <c r="CV18" s="185">
        <v>0</v>
      </c>
      <c r="CW18" s="185">
        <v>0</v>
      </c>
      <c r="CX18" s="185">
        <v>0</v>
      </c>
      <c r="CY18" s="188">
        <v>95</v>
      </c>
      <c r="CZ18" s="387">
        <v>95</v>
      </c>
      <c r="DA18" s="188">
        <v>0</v>
      </c>
      <c r="DB18" s="185">
        <v>88</v>
      </c>
      <c r="DC18" s="185">
        <v>39</v>
      </c>
      <c r="DD18" s="189">
        <v>139</v>
      </c>
      <c r="DE18" s="185">
        <v>42</v>
      </c>
      <c r="DF18" s="185">
        <v>39</v>
      </c>
      <c r="DG18" s="189">
        <v>139</v>
      </c>
      <c r="DH18" s="185">
        <v>48</v>
      </c>
      <c r="DI18" s="185">
        <v>0</v>
      </c>
      <c r="DJ18" s="185">
        <v>0</v>
      </c>
      <c r="DK18" s="188">
        <v>0</v>
      </c>
      <c r="DL18" s="185">
        <v>0</v>
      </c>
      <c r="DM18" s="185">
        <v>0</v>
      </c>
      <c r="DN18" s="188">
        <v>0</v>
      </c>
      <c r="DO18" s="185">
        <v>0</v>
      </c>
      <c r="DP18" s="184">
        <f t="shared" si="6"/>
        <v>95</v>
      </c>
      <c r="DQ18" s="185">
        <v>17</v>
      </c>
      <c r="DR18" s="385"/>
    </row>
    <row r="19" spans="1:122" s="58" customFormat="1">
      <c r="A19" s="43" t="s">
        <v>96</v>
      </c>
      <c r="B19" s="361">
        <v>13</v>
      </c>
      <c r="C19" s="362" t="s">
        <v>75</v>
      </c>
      <c r="D19" s="363">
        <v>1953</v>
      </c>
      <c r="E19" s="364"/>
      <c r="F19" s="364" t="s">
        <v>29</v>
      </c>
      <c r="G19" s="365">
        <v>1</v>
      </c>
      <c r="H19" s="364">
        <v>5</v>
      </c>
      <c r="I19" s="364" t="s">
        <v>100</v>
      </c>
      <c r="J19" s="366">
        <v>37057</v>
      </c>
      <c r="K19" s="366">
        <v>2179</v>
      </c>
      <c r="L19" s="366">
        <v>2834</v>
      </c>
      <c r="M19" s="366">
        <v>0</v>
      </c>
      <c r="N19" s="366">
        <f>105+1-1</f>
        <v>105</v>
      </c>
      <c r="O19" s="366">
        <f>264+3-3</f>
        <v>264</v>
      </c>
      <c r="P19" s="366">
        <v>108</v>
      </c>
      <c r="Q19" s="390">
        <v>238</v>
      </c>
      <c r="R19" s="368">
        <f>7370.8+76.24-76.24</f>
        <v>7370.8</v>
      </c>
      <c r="S19" s="369">
        <f>4572.07-50.59</f>
        <v>4521.4799999999996</v>
      </c>
      <c r="T19" s="390">
        <f t="shared" si="7"/>
        <v>95</v>
      </c>
      <c r="U19" s="371">
        <f t="shared" si="8"/>
        <v>6707.32</v>
      </c>
      <c r="V19" s="371">
        <f t="shared" si="9"/>
        <v>4121.7299999999996</v>
      </c>
      <c r="W19" s="372">
        <v>10</v>
      </c>
      <c r="X19" s="373">
        <v>663.48</v>
      </c>
      <c r="Y19" s="373">
        <v>399.75</v>
      </c>
      <c r="Z19" s="374"/>
      <c r="AA19" s="374"/>
      <c r="AB19" s="374"/>
      <c r="AC19" s="373">
        <f t="shared" si="10"/>
        <v>978.34</v>
      </c>
      <c r="AD19" s="375">
        <f t="shared" si="11"/>
        <v>809.14</v>
      </c>
      <c r="AE19" s="375"/>
      <c r="AF19" s="375">
        <f>809.1+0.04</f>
        <v>809.14</v>
      </c>
      <c r="AG19" s="375">
        <f>169.24-76.24+76.24-0.04</f>
        <v>169.20000000000002</v>
      </c>
      <c r="AH19" s="376"/>
      <c r="AI19" s="375">
        <f t="shared" si="21"/>
        <v>8349.14</v>
      </c>
      <c r="AJ19" s="366"/>
      <c r="AK19" s="366"/>
      <c r="AL19" s="366">
        <v>6</v>
      </c>
      <c r="AM19" s="366"/>
      <c r="AN19" s="366"/>
      <c r="AO19" s="366">
        <v>2</v>
      </c>
      <c r="AP19" s="366">
        <v>5555</v>
      </c>
      <c r="AQ19" s="366">
        <v>1500</v>
      </c>
      <c r="AR19" s="366">
        <v>450</v>
      </c>
      <c r="AS19" s="366">
        <v>483</v>
      </c>
      <c r="AT19" s="366">
        <v>180</v>
      </c>
      <c r="AU19" s="366">
        <f t="shared" si="22"/>
        <v>5921</v>
      </c>
      <c r="AV19" s="366"/>
      <c r="AW19" s="366">
        <f>5958-37</f>
        <v>5921</v>
      </c>
      <c r="AX19" s="366"/>
      <c r="AY19" s="366">
        <v>141</v>
      </c>
      <c r="AZ19" s="366">
        <v>2326</v>
      </c>
      <c r="BA19" s="366">
        <v>2326</v>
      </c>
      <c r="BB19" s="366">
        <v>30</v>
      </c>
      <c r="BC19" s="366">
        <v>12</v>
      </c>
      <c r="BD19" s="366">
        <f>380-4</f>
        <v>376</v>
      </c>
      <c r="BE19" s="366">
        <f>1022-1</f>
        <v>1021</v>
      </c>
      <c r="BF19" s="366"/>
      <c r="BG19" s="366">
        <f>7797-150</f>
        <v>7647</v>
      </c>
      <c r="BH19" s="366">
        <v>228</v>
      </c>
      <c r="BI19" s="366"/>
      <c r="BJ19" s="366">
        <f>G19</f>
        <v>1</v>
      </c>
      <c r="BK19" s="366">
        <f>R19</f>
        <v>7370.8</v>
      </c>
      <c r="BL19" s="366">
        <f>S19</f>
        <v>4521.4799999999996</v>
      </c>
      <c r="BM19" s="366"/>
      <c r="BN19" s="366"/>
      <c r="BO19" s="366"/>
      <c r="BP19" s="366"/>
      <c r="BQ19" s="366"/>
      <c r="BR19" s="366"/>
      <c r="BS19" s="366"/>
      <c r="BT19" s="366">
        <v>4</v>
      </c>
      <c r="BU19" s="366">
        <f>BA19</f>
        <v>2326</v>
      </c>
      <c r="BV19" s="366">
        <v>6455</v>
      </c>
      <c r="BW19" s="366"/>
      <c r="BX19" s="366">
        <f>AP19</f>
        <v>5555</v>
      </c>
      <c r="BY19" s="377">
        <v>813.57</v>
      </c>
      <c r="BZ19" s="377">
        <v>767.27</v>
      </c>
      <c r="CA19" s="378">
        <v>6077</v>
      </c>
      <c r="CB19" s="378">
        <f t="shared" si="1"/>
        <v>3898</v>
      </c>
      <c r="CC19" s="379" t="str">
        <f t="shared" si="2"/>
        <v>0</v>
      </c>
      <c r="CD19" s="380">
        <f t="shared" si="3"/>
        <v>0</v>
      </c>
      <c r="CE19" s="379">
        <f t="shared" si="4"/>
        <v>1</v>
      </c>
      <c r="CF19" s="380">
        <f t="shared" si="5"/>
        <v>5921</v>
      </c>
      <c r="CG19" s="380">
        <f t="shared" si="13"/>
        <v>1</v>
      </c>
      <c r="CH19" s="380">
        <f t="shared" si="14"/>
        <v>5921</v>
      </c>
      <c r="CI19" s="381">
        <v>46</v>
      </c>
      <c r="CJ19" s="382" t="str">
        <f t="shared" si="15"/>
        <v>0</v>
      </c>
      <c r="CK19" s="382" t="str">
        <f t="shared" si="16"/>
        <v>0</v>
      </c>
      <c r="CL19" s="383">
        <f t="shared" si="17"/>
        <v>9.001465241222121</v>
      </c>
      <c r="CM19" s="382" t="str">
        <f t="shared" si="18"/>
        <v>0</v>
      </c>
      <c r="CN19" s="382" t="str">
        <f t="shared" si="19"/>
        <v>0</v>
      </c>
      <c r="CO19" s="383">
        <f t="shared" si="20"/>
        <v>17.637984271433943</v>
      </c>
      <c r="CP19" s="185">
        <v>1</v>
      </c>
      <c r="CQ19" s="185">
        <v>0</v>
      </c>
      <c r="CR19" s="185">
        <v>0</v>
      </c>
      <c r="CS19" s="185">
        <v>0</v>
      </c>
      <c r="CT19" s="185">
        <v>3</v>
      </c>
      <c r="CU19" s="185">
        <v>0</v>
      </c>
      <c r="CV19" s="185">
        <v>0</v>
      </c>
      <c r="CW19" s="185">
        <v>0</v>
      </c>
      <c r="CX19" s="185">
        <v>0</v>
      </c>
      <c r="CY19" s="188">
        <v>106</v>
      </c>
      <c r="CZ19" s="387">
        <v>100</v>
      </c>
      <c r="DA19" s="188">
        <v>6</v>
      </c>
      <c r="DB19" s="185">
        <v>90</v>
      </c>
      <c r="DC19" s="185">
        <v>38</v>
      </c>
      <c r="DD19" s="189">
        <v>156</v>
      </c>
      <c r="DE19" s="185">
        <v>40</v>
      </c>
      <c r="DF19" s="185">
        <v>38</v>
      </c>
      <c r="DG19" s="189">
        <v>156</v>
      </c>
      <c r="DH19" s="185">
        <v>45</v>
      </c>
      <c r="DI19" s="185">
        <v>3</v>
      </c>
      <c r="DJ19" s="185">
        <v>2</v>
      </c>
      <c r="DK19" s="188">
        <v>2</v>
      </c>
      <c r="DL19" s="185">
        <v>2</v>
      </c>
      <c r="DM19" s="185">
        <v>2</v>
      </c>
      <c r="DN19" s="188">
        <v>2</v>
      </c>
      <c r="DO19" s="185">
        <v>2</v>
      </c>
      <c r="DP19" s="184">
        <f t="shared" si="6"/>
        <v>106</v>
      </c>
      <c r="DQ19" s="185">
        <v>33</v>
      </c>
      <c r="DR19" s="385"/>
    </row>
    <row r="20" spans="1:122">
      <c r="A20" s="43" t="s">
        <v>96</v>
      </c>
      <c r="B20" s="361">
        <v>14</v>
      </c>
      <c r="C20" s="362" t="s">
        <v>76</v>
      </c>
      <c r="D20" s="363">
        <v>1988</v>
      </c>
      <c r="E20" s="364"/>
      <c r="F20" s="364" t="s">
        <v>28</v>
      </c>
      <c r="G20" s="365">
        <v>1</v>
      </c>
      <c r="H20" s="364">
        <v>9</v>
      </c>
      <c r="I20" s="364" t="s">
        <v>99</v>
      </c>
      <c r="J20" s="366">
        <v>29351</v>
      </c>
      <c r="K20" s="366">
        <v>1196</v>
      </c>
      <c r="L20" s="366"/>
      <c r="M20" s="366">
        <v>1172</v>
      </c>
      <c r="N20" s="366">
        <v>101</v>
      </c>
      <c r="O20" s="366">
        <v>277</v>
      </c>
      <c r="P20" s="366">
        <v>102</v>
      </c>
      <c r="Q20" s="390">
        <v>230</v>
      </c>
      <c r="R20" s="368">
        <v>6552.2</v>
      </c>
      <c r="S20" s="369">
        <v>4090.7</v>
      </c>
      <c r="T20" s="390">
        <f t="shared" si="7"/>
        <v>96</v>
      </c>
      <c r="U20" s="371">
        <f t="shared" si="8"/>
        <v>6252.5</v>
      </c>
      <c r="V20" s="371">
        <f t="shared" si="9"/>
        <v>3909.1</v>
      </c>
      <c r="W20" s="372">
        <v>5</v>
      </c>
      <c r="X20" s="373">
        <v>299.7</v>
      </c>
      <c r="Y20" s="373">
        <v>181.6</v>
      </c>
      <c r="Z20" s="374"/>
      <c r="AA20" s="374"/>
      <c r="AB20" s="374"/>
      <c r="AC20" s="373">
        <f t="shared" si="10"/>
        <v>100.4</v>
      </c>
      <c r="AD20" s="368">
        <f t="shared" si="11"/>
        <v>100.4</v>
      </c>
      <c r="AE20" s="375"/>
      <c r="AF20" s="368">
        <v>100.4</v>
      </c>
      <c r="AG20" s="375"/>
      <c r="AH20" s="376"/>
      <c r="AI20" s="375">
        <f t="shared" si="21"/>
        <v>6652.5999999999995</v>
      </c>
      <c r="AJ20" s="366"/>
      <c r="AK20" s="366">
        <v>3</v>
      </c>
      <c r="AL20" s="366">
        <v>3</v>
      </c>
      <c r="AM20" s="366">
        <v>3</v>
      </c>
      <c r="AN20" s="366"/>
      <c r="AO20" s="366">
        <v>3</v>
      </c>
      <c r="AP20" s="366">
        <v>5400</v>
      </c>
      <c r="AQ20" s="366"/>
      <c r="AR20" s="366">
        <v>360</v>
      </c>
      <c r="AS20" s="366">
        <v>396</v>
      </c>
      <c r="AT20" s="366">
        <v>429</v>
      </c>
      <c r="AU20" s="366">
        <f t="shared" si="22"/>
        <v>10869</v>
      </c>
      <c r="AV20" s="366"/>
      <c r="AW20" s="366">
        <v>10869</v>
      </c>
      <c r="AX20" s="366">
        <v>2970</v>
      </c>
      <c r="AY20" s="366">
        <v>182</v>
      </c>
      <c r="AZ20" s="366">
        <v>1071</v>
      </c>
      <c r="BA20" s="366">
        <v>1071</v>
      </c>
      <c r="BB20" s="366">
        <v>51</v>
      </c>
      <c r="BC20" s="366">
        <v>6</v>
      </c>
      <c r="BD20" s="366">
        <v>384</v>
      </c>
      <c r="BE20" s="366">
        <v>996</v>
      </c>
      <c r="BF20" s="366"/>
      <c r="BG20" s="366">
        <v>11400</v>
      </c>
      <c r="BH20" s="366">
        <v>4905</v>
      </c>
      <c r="BI20" s="366">
        <v>135</v>
      </c>
      <c r="BJ20" s="366"/>
      <c r="BK20" s="366"/>
      <c r="BL20" s="366"/>
      <c r="BM20" s="366">
        <f>G20</f>
        <v>1</v>
      </c>
      <c r="BN20" s="366">
        <f>R20</f>
        <v>6552.2</v>
      </c>
      <c r="BO20" s="366">
        <f>S20</f>
        <v>4090.7</v>
      </c>
      <c r="BP20" s="366"/>
      <c r="BQ20" s="366"/>
      <c r="BR20" s="366"/>
      <c r="BS20" s="366"/>
      <c r="BT20" s="366">
        <v>2</v>
      </c>
      <c r="BU20" s="366"/>
      <c r="BV20" s="366"/>
      <c r="BW20" s="366"/>
      <c r="BX20" s="366"/>
      <c r="BY20" s="377">
        <v>2245.6999999999998</v>
      </c>
      <c r="BZ20" s="377">
        <v>1172.3</v>
      </c>
      <c r="CA20" s="378">
        <v>2447</v>
      </c>
      <c r="CB20" s="378">
        <f t="shared" si="1"/>
        <v>1251</v>
      </c>
      <c r="CC20" s="379" t="str">
        <f t="shared" si="2"/>
        <v>0</v>
      </c>
      <c r="CD20" s="380">
        <f t="shared" si="3"/>
        <v>0</v>
      </c>
      <c r="CE20" s="379">
        <f t="shared" si="4"/>
        <v>1</v>
      </c>
      <c r="CF20" s="380">
        <f t="shared" si="5"/>
        <v>10869</v>
      </c>
      <c r="CG20" s="380">
        <f t="shared" si="13"/>
        <v>1</v>
      </c>
      <c r="CH20" s="380">
        <f t="shared" si="14"/>
        <v>10869</v>
      </c>
      <c r="CI20" s="356">
        <v>30</v>
      </c>
      <c r="CJ20" s="382" t="str">
        <f t="shared" si="15"/>
        <v>0</v>
      </c>
      <c r="CK20" s="382" t="str">
        <f t="shared" si="16"/>
        <v>0</v>
      </c>
      <c r="CL20" s="383">
        <f t="shared" si="17"/>
        <v>4.5740362015811487</v>
      </c>
      <c r="CM20" s="382" t="str">
        <f t="shared" si="18"/>
        <v>0</v>
      </c>
      <c r="CN20" s="382" t="str">
        <f t="shared" si="19"/>
        <v>0</v>
      </c>
      <c r="CO20" s="383">
        <f t="shared" si="20"/>
        <v>6.0141899407750357</v>
      </c>
      <c r="CP20" s="185">
        <v>1</v>
      </c>
      <c r="CQ20" s="185">
        <v>0</v>
      </c>
      <c r="CR20" s="185">
        <v>0</v>
      </c>
      <c r="CS20" s="185">
        <v>0</v>
      </c>
      <c r="CT20" s="185">
        <v>2</v>
      </c>
      <c r="CU20" s="185">
        <v>0</v>
      </c>
      <c r="CV20" s="185">
        <v>0</v>
      </c>
      <c r="CW20" s="185">
        <v>0</v>
      </c>
      <c r="CX20" s="185">
        <v>0</v>
      </c>
      <c r="CY20" s="188">
        <v>101</v>
      </c>
      <c r="CZ20" s="387">
        <v>99</v>
      </c>
      <c r="DA20" s="188">
        <v>2</v>
      </c>
      <c r="DB20" s="185">
        <v>94</v>
      </c>
      <c r="DC20" s="185">
        <v>68</v>
      </c>
      <c r="DD20" s="189">
        <v>169</v>
      </c>
      <c r="DE20" s="185">
        <v>92</v>
      </c>
      <c r="DF20" s="185">
        <v>68</v>
      </c>
      <c r="DG20" s="189">
        <v>169</v>
      </c>
      <c r="DH20" s="185">
        <v>92</v>
      </c>
      <c r="DI20" s="185">
        <v>2</v>
      </c>
      <c r="DJ20" s="185">
        <v>1</v>
      </c>
      <c r="DK20" s="188">
        <v>2</v>
      </c>
      <c r="DL20" s="185">
        <v>1</v>
      </c>
      <c r="DM20" s="185">
        <v>1</v>
      </c>
      <c r="DN20" s="188">
        <v>2</v>
      </c>
      <c r="DO20" s="185">
        <v>1</v>
      </c>
      <c r="DP20" s="184">
        <f t="shared" si="6"/>
        <v>101</v>
      </c>
      <c r="DQ20" s="185">
        <v>101</v>
      </c>
    </row>
    <row r="21" spans="1:122">
      <c r="A21" s="43" t="s">
        <v>96</v>
      </c>
      <c r="B21" s="361">
        <v>15</v>
      </c>
      <c r="C21" s="362" t="s">
        <v>118</v>
      </c>
      <c r="D21" s="363">
        <v>1983</v>
      </c>
      <c r="E21" s="364"/>
      <c r="F21" s="364" t="s">
        <v>28</v>
      </c>
      <c r="G21" s="365">
        <v>1</v>
      </c>
      <c r="H21" s="364">
        <v>9</v>
      </c>
      <c r="I21" s="364" t="s">
        <v>99</v>
      </c>
      <c r="J21" s="366">
        <f>20281+19963+19980</f>
        <v>60224</v>
      </c>
      <c r="K21" s="366">
        <f>784+783+787</f>
        <v>2354</v>
      </c>
      <c r="L21" s="366"/>
      <c r="M21" s="366">
        <f>738+725+751</f>
        <v>2214</v>
      </c>
      <c r="N21" s="366">
        <v>210</v>
      </c>
      <c r="O21" s="366">
        <v>588</v>
      </c>
      <c r="P21" s="366">
        <v>214</v>
      </c>
      <c r="Q21" s="390">
        <v>527</v>
      </c>
      <c r="R21" s="368">
        <v>13647</v>
      </c>
      <c r="S21" s="369">
        <v>8656.6</v>
      </c>
      <c r="T21" s="390">
        <f t="shared" si="7"/>
        <v>193</v>
      </c>
      <c r="U21" s="389">
        <f t="shared" si="8"/>
        <v>12525.5</v>
      </c>
      <c r="V21" s="389">
        <f t="shared" si="9"/>
        <v>7937.8</v>
      </c>
      <c r="W21" s="372">
        <v>17</v>
      </c>
      <c r="X21" s="373">
        <v>1121.5</v>
      </c>
      <c r="Y21" s="373">
        <v>718.8</v>
      </c>
      <c r="Z21" s="374"/>
      <c r="AA21" s="374"/>
      <c r="AB21" s="374"/>
      <c r="AC21" s="373">
        <f t="shared" si="10"/>
        <v>0</v>
      </c>
      <c r="AD21" s="368">
        <f t="shared" si="11"/>
        <v>0</v>
      </c>
      <c r="AE21" s="375"/>
      <c r="AF21" s="368">
        <v>0</v>
      </c>
      <c r="AG21" s="375"/>
      <c r="AH21" s="376"/>
      <c r="AI21" s="375">
        <f t="shared" si="21"/>
        <v>13647</v>
      </c>
      <c r="AJ21" s="366"/>
      <c r="AK21" s="366">
        <f>2+2+2</f>
        <v>6</v>
      </c>
      <c r="AL21" s="366">
        <f t="shared" ref="AL21:AM21" si="23">2+2+2</f>
        <v>6</v>
      </c>
      <c r="AM21" s="366">
        <f t="shared" si="23"/>
        <v>6</v>
      </c>
      <c r="AN21" s="366"/>
      <c r="AO21" s="366">
        <f>2+2+2</f>
        <v>6</v>
      </c>
      <c r="AP21" s="366">
        <f>3930+3930+3930</f>
        <v>11790</v>
      </c>
      <c r="AQ21" s="366">
        <f>0+583+0</f>
        <v>583</v>
      </c>
      <c r="AR21" s="366">
        <f>0+945+0</f>
        <v>945</v>
      </c>
      <c r="AS21" s="366">
        <f>200+197+262</f>
        <v>659</v>
      </c>
      <c r="AT21" s="366">
        <f>286+286+286</f>
        <v>858</v>
      </c>
      <c r="AU21" s="366">
        <f t="shared" si="22"/>
        <v>21738</v>
      </c>
      <c r="AV21" s="366">
        <f>7246+7246+7246</f>
        <v>21738</v>
      </c>
      <c r="AW21" s="366"/>
      <c r="AX21" s="366">
        <f>2140+2140+2140</f>
        <v>6420</v>
      </c>
      <c r="AY21" s="366">
        <f>165+132+171</f>
        <v>468</v>
      </c>
      <c r="AZ21" s="366">
        <f>738+725+729</f>
        <v>2192</v>
      </c>
      <c r="BA21" s="366">
        <f>738+725+729</f>
        <v>2192</v>
      </c>
      <c r="BB21" s="366">
        <f>34+34+34</f>
        <v>102</v>
      </c>
      <c r="BC21" s="366">
        <f>4+4+4</f>
        <v>12</v>
      </c>
      <c r="BD21" s="366">
        <f>266+266+266</f>
        <v>798</v>
      </c>
      <c r="BE21" s="366">
        <f>686+686+686</f>
        <v>2058</v>
      </c>
      <c r="BF21" s="366"/>
      <c r="BG21" s="366">
        <f>7600+7600+7600</f>
        <v>22800</v>
      </c>
      <c r="BH21" s="366">
        <f>3270+3270+3270</f>
        <v>9810</v>
      </c>
      <c r="BI21" s="366">
        <f>90+90+90</f>
        <v>270</v>
      </c>
      <c r="BJ21" s="366"/>
      <c r="BK21" s="366"/>
      <c r="BL21" s="366"/>
      <c r="BM21" s="366">
        <f>G21</f>
        <v>1</v>
      </c>
      <c r="BN21" s="366">
        <f>R21</f>
        <v>13647</v>
      </c>
      <c r="BO21" s="366">
        <f>S21</f>
        <v>8656.6</v>
      </c>
      <c r="BP21" s="366"/>
      <c r="BQ21" s="366"/>
      <c r="BR21" s="366"/>
      <c r="BS21" s="366"/>
      <c r="BT21" s="366">
        <v>2</v>
      </c>
      <c r="BU21" s="366"/>
      <c r="BV21" s="366"/>
      <c r="BW21" s="366"/>
      <c r="BX21" s="366"/>
      <c r="BY21" s="377">
        <v>2570.3000000000002</v>
      </c>
      <c r="BZ21" s="377">
        <v>2323.5</v>
      </c>
      <c r="CA21" s="378">
        <f>1890+1585+1628</f>
        <v>5103</v>
      </c>
      <c r="CB21" s="378">
        <f t="shared" si="1"/>
        <v>2749</v>
      </c>
      <c r="CC21" s="379">
        <f t="shared" si="2"/>
        <v>1</v>
      </c>
      <c r="CD21" s="380">
        <f t="shared" si="3"/>
        <v>21738</v>
      </c>
      <c r="CE21" s="379" t="str">
        <f t="shared" si="4"/>
        <v>0</v>
      </c>
      <c r="CF21" s="380">
        <f t="shared" si="5"/>
        <v>0</v>
      </c>
      <c r="CG21" s="380">
        <f t="shared" si="13"/>
        <v>1</v>
      </c>
      <c r="CH21" s="380">
        <f t="shared" si="14"/>
        <v>21738</v>
      </c>
      <c r="CI21" s="356">
        <v>30</v>
      </c>
      <c r="CJ21" s="382" t="str">
        <f t="shared" si="15"/>
        <v>0</v>
      </c>
      <c r="CK21" s="382" t="str">
        <f t="shared" si="16"/>
        <v>0</v>
      </c>
      <c r="CL21" s="383">
        <f t="shared" si="17"/>
        <v>8.2179233531179001</v>
      </c>
      <c r="CM21" s="382" t="str">
        <f t="shared" si="18"/>
        <v>0</v>
      </c>
      <c r="CN21" s="382" t="str">
        <f t="shared" si="19"/>
        <v>0</v>
      </c>
      <c r="CO21" s="383">
        <f t="shared" si="20"/>
        <v>8.2179233531179001</v>
      </c>
      <c r="CP21" s="185">
        <v>1</v>
      </c>
      <c r="CQ21" s="185">
        <v>0</v>
      </c>
      <c r="CR21" s="185">
        <v>0</v>
      </c>
      <c r="CS21" s="185">
        <v>0</v>
      </c>
      <c r="CT21" s="185">
        <v>6</v>
      </c>
      <c r="CU21" s="185">
        <v>0</v>
      </c>
      <c r="CV21" s="185">
        <v>0</v>
      </c>
      <c r="CW21" s="185">
        <v>0</v>
      </c>
      <c r="CX21" s="185">
        <v>0</v>
      </c>
      <c r="CY21" s="188">
        <v>210</v>
      </c>
      <c r="CZ21" s="387">
        <v>199</v>
      </c>
      <c r="DA21" s="188">
        <v>11</v>
      </c>
      <c r="DB21" s="185">
        <v>198</v>
      </c>
      <c r="DC21" s="185">
        <v>153</v>
      </c>
      <c r="DD21" s="189">
        <v>363</v>
      </c>
      <c r="DE21" s="185">
        <v>168</v>
      </c>
      <c r="DF21" s="185">
        <v>153</v>
      </c>
      <c r="DG21" s="189">
        <v>363</v>
      </c>
      <c r="DH21" s="185">
        <v>168</v>
      </c>
      <c r="DI21" s="185">
        <v>6</v>
      </c>
      <c r="DJ21" s="185">
        <v>4</v>
      </c>
      <c r="DK21" s="188">
        <v>11</v>
      </c>
      <c r="DL21" s="185">
        <v>5</v>
      </c>
      <c r="DM21" s="185">
        <v>4</v>
      </c>
      <c r="DN21" s="188">
        <v>11</v>
      </c>
      <c r="DO21" s="185">
        <v>5</v>
      </c>
      <c r="DP21" s="184">
        <f t="shared" si="6"/>
        <v>210</v>
      </c>
      <c r="DQ21" s="185">
        <v>210</v>
      </c>
    </row>
    <row r="22" spans="1:122">
      <c r="A22" s="43" t="s">
        <v>96</v>
      </c>
      <c r="B22" s="361">
        <v>16</v>
      </c>
      <c r="C22" s="362" t="s">
        <v>77</v>
      </c>
      <c r="D22" s="363">
        <v>1954</v>
      </c>
      <c r="E22" s="364"/>
      <c r="F22" s="364" t="s">
        <v>29</v>
      </c>
      <c r="G22" s="365">
        <v>1</v>
      </c>
      <c r="H22" s="364">
        <v>5</v>
      </c>
      <c r="I22" s="364" t="s">
        <v>100</v>
      </c>
      <c r="J22" s="366">
        <v>44928</v>
      </c>
      <c r="K22" s="366">
        <v>2348</v>
      </c>
      <c r="L22" s="366">
        <v>2814</v>
      </c>
      <c r="M22" s="366">
        <v>0</v>
      </c>
      <c r="N22" s="366">
        <v>101</v>
      </c>
      <c r="O22" s="366">
        <v>256</v>
      </c>
      <c r="P22" s="366">
        <v>114</v>
      </c>
      <c r="Q22" s="390">
        <v>228</v>
      </c>
      <c r="R22" s="368">
        <v>7027.81</v>
      </c>
      <c r="S22" s="369">
        <v>4286.82</v>
      </c>
      <c r="T22" s="390">
        <f t="shared" si="7"/>
        <v>93</v>
      </c>
      <c r="U22" s="371">
        <f t="shared" si="8"/>
        <v>6448.5</v>
      </c>
      <c r="V22" s="371">
        <f t="shared" si="9"/>
        <v>3934.6099999999997</v>
      </c>
      <c r="W22" s="372">
        <v>8</v>
      </c>
      <c r="X22" s="373">
        <v>579.30999999999995</v>
      </c>
      <c r="Y22" s="373">
        <v>352.21</v>
      </c>
      <c r="Z22" s="374"/>
      <c r="AA22" s="374"/>
      <c r="AB22" s="374"/>
      <c r="AC22" s="373">
        <f t="shared" si="10"/>
        <v>2769.62</v>
      </c>
      <c r="AD22" s="368">
        <f t="shared" si="11"/>
        <v>1936.2</v>
      </c>
      <c r="AE22" s="375"/>
      <c r="AF22" s="368">
        <f>2432.75-496.55</f>
        <v>1936.2</v>
      </c>
      <c r="AG22" s="375">
        <f>336.87+496.55</f>
        <v>833.42000000000007</v>
      </c>
      <c r="AH22" s="376"/>
      <c r="AI22" s="375">
        <f t="shared" si="21"/>
        <v>9797.43</v>
      </c>
      <c r="AJ22" s="366"/>
      <c r="AK22" s="366"/>
      <c r="AL22" s="366">
        <v>6</v>
      </c>
      <c r="AM22" s="366"/>
      <c r="AN22" s="366"/>
      <c r="AO22" s="366">
        <v>2</v>
      </c>
      <c r="AP22" s="366">
        <v>5540</v>
      </c>
      <c r="AQ22" s="366">
        <v>585</v>
      </c>
      <c r="AR22" s="366">
        <v>550</v>
      </c>
      <c r="AS22" s="366">
        <v>321</v>
      </c>
      <c r="AT22" s="366">
        <v>180</v>
      </c>
      <c r="AU22" s="366">
        <f t="shared" si="22"/>
        <v>5958</v>
      </c>
      <c r="AV22" s="366"/>
      <c r="AW22" s="366">
        <v>5958</v>
      </c>
      <c r="AX22" s="366"/>
      <c r="AY22" s="366">
        <v>137</v>
      </c>
      <c r="AZ22" s="366">
        <v>2400</v>
      </c>
      <c r="BA22" s="366">
        <v>2400</v>
      </c>
      <c r="BB22" s="366">
        <v>30</v>
      </c>
      <c r="BC22" s="366">
        <v>12</v>
      </c>
      <c r="BD22" s="366">
        <v>396</v>
      </c>
      <c r="BE22" s="366">
        <v>1002</v>
      </c>
      <c r="BF22" s="366"/>
      <c r="BG22" s="366">
        <v>6333</v>
      </c>
      <c r="BH22" s="366">
        <v>228</v>
      </c>
      <c r="BI22" s="366"/>
      <c r="BJ22" s="366">
        <f>G22</f>
        <v>1</v>
      </c>
      <c r="BK22" s="366">
        <f>R22</f>
        <v>7027.81</v>
      </c>
      <c r="BL22" s="366">
        <f>S22</f>
        <v>4286.82</v>
      </c>
      <c r="BM22" s="366"/>
      <c r="BN22" s="366"/>
      <c r="BO22" s="366"/>
      <c r="BP22" s="366"/>
      <c r="BQ22" s="366"/>
      <c r="BR22" s="366"/>
      <c r="BS22" s="366"/>
      <c r="BT22" s="366">
        <v>4</v>
      </c>
      <c r="BU22" s="366">
        <f>BA22</f>
        <v>2400</v>
      </c>
      <c r="BV22" s="366">
        <v>6455</v>
      </c>
      <c r="BW22" s="366"/>
      <c r="BX22" s="366">
        <f>AP22</f>
        <v>5540</v>
      </c>
      <c r="BY22" s="377">
        <v>858.12</v>
      </c>
      <c r="BZ22" s="377">
        <v>805.2</v>
      </c>
      <c r="CA22" s="378">
        <v>6185</v>
      </c>
      <c r="CB22" s="378">
        <f t="shared" si="1"/>
        <v>3837</v>
      </c>
      <c r="CC22" s="379" t="str">
        <f t="shared" si="2"/>
        <v>0</v>
      </c>
      <c r="CD22" s="380">
        <f t="shared" si="3"/>
        <v>0</v>
      </c>
      <c r="CE22" s="379">
        <f t="shared" si="4"/>
        <v>1</v>
      </c>
      <c r="CF22" s="380">
        <f t="shared" si="5"/>
        <v>5958</v>
      </c>
      <c r="CG22" s="380">
        <f t="shared" si="13"/>
        <v>1</v>
      </c>
      <c r="CH22" s="380">
        <f t="shared" si="14"/>
        <v>5958</v>
      </c>
      <c r="CI22" s="356">
        <v>51</v>
      </c>
      <c r="CJ22" s="382" t="str">
        <f t="shared" si="15"/>
        <v>0</v>
      </c>
      <c r="CK22" s="382" t="str">
        <f t="shared" si="16"/>
        <v>0</v>
      </c>
      <c r="CL22" s="383">
        <f t="shared" si="17"/>
        <v>8.2431084505699488</v>
      </c>
      <c r="CM22" s="382" t="str">
        <f t="shared" si="18"/>
        <v>0</v>
      </c>
      <c r="CN22" s="382" t="str">
        <f t="shared" si="19"/>
        <v>0</v>
      </c>
      <c r="CO22" s="383">
        <f t="shared" si="20"/>
        <v>25.675202578635421</v>
      </c>
      <c r="CP22" s="185">
        <v>1</v>
      </c>
      <c r="CQ22" s="185">
        <v>0</v>
      </c>
      <c r="CR22" s="185">
        <v>0</v>
      </c>
      <c r="CS22" s="185">
        <v>0</v>
      </c>
      <c r="CT22" s="185">
        <v>3</v>
      </c>
      <c r="CU22" s="185">
        <v>0</v>
      </c>
      <c r="CV22" s="185">
        <v>0</v>
      </c>
      <c r="CW22" s="185">
        <v>0</v>
      </c>
      <c r="CX22" s="185">
        <v>0</v>
      </c>
      <c r="CY22" s="188">
        <v>101</v>
      </c>
      <c r="CZ22" s="387">
        <v>94</v>
      </c>
      <c r="DA22" s="188">
        <v>7</v>
      </c>
      <c r="DB22" s="185">
        <v>91</v>
      </c>
      <c r="DC22" s="185">
        <v>29</v>
      </c>
      <c r="DD22" s="189">
        <v>163</v>
      </c>
      <c r="DE22" s="185">
        <v>30</v>
      </c>
      <c r="DF22" s="185">
        <v>29</v>
      </c>
      <c r="DG22" s="189">
        <v>163</v>
      </c>
      <c r="DH22" s="185">
        <v>30</v>
      </c>
      <c r="DI22" s="185">
        <v>4</v>
      </c>
      <c r="DJ22" s="185">
        <v>1</v>
      </c>
      <c r="DK22" s="188">
        <v>2</v>
      </c>
      <c r="DL22" s="185">
        <v>1</v>
      </c>
      <c r="DM22" s="185">
        <v>1</v>
      </c>
      <c r="DN22" s="188">
        <v>2</v>
      </c>
      <c r="DO22" s="185">
        <v>1</v>
      </c>
      <c r="DP22" s="184">
        <f t="shared" si="6"/>
        <v>101</v>
      </c>
      <c r="DQ22" s="185">
        <v>24</v>
      </c>
    </row>
    <row r="23" spans="1:122">
      <c r="A23" s="43" t="s">
        <v>96</v>
      </c>
      <c r="B23" s="361">
        <v>17</v>
      </c>
      <c r="C23" s="362" t="s">
        <v>78</v>
      </c>
      <c r="D23" s="363">
        <v>1983</v>
      </c>
      <c r="E23" s="364"/>
      <c r="F23" s="364" t="s">
        <v>28</v>
      </c>
      <c r="G23" s="365">
        <v>1</v>
      </c>
      <c r="H23" s="364">
        <v>9</v>
      </c>
      <c r="I23" s="364" t="s">
        <v>99</v>
      </c>
      <c r="J23" s="366">
        <v>29977</v>
      </c>
      <c r="K23" s="366">
        <v>1181</v>
      </c>
      <c r="L23" s="366"/>
      <c r="M23" s="366">
        <v>1081</v>
      </c>
      <c r="N23" s="366">
        <v>105</v>
      </c>
      <c r="O23" s="366">
        <v>285</v>
      </c>
      <c r="P23" s="366">
        <v>106</v>
      </c>
      <c r="Q23" s="390">
        <v>246</v>
      </c>
      <c r="R23" s="368">
        <v>6797.1</v>
      </c>
      <c r="S23" s="369">
        <v>4225</v>
      </c>
      <c r="T23" s="390">
        <f t="shared" si="7"/>
        <v>98</v>
      </c>
      <c r="U23" s="371">
        <f t="shared" si="8"/>
        <v>6351.3</v>
      </c>
      <c r="V23" s="371">
        <f t="shared" si="9"/>
        <v>3946.4</v>
      </c>
      <c r="W23" s="372">
        <v>7</v>
      </c>
      <c r="X23" s="373">
        <v>445.8</v>
      </c>
      <c r="Y23" s="373">
        <v>278.60000000000002</v>
      </c>
      <c r="Z23" s="374"/>
      <c r="AA23" s="374"/>
      <c r="AB23" s="374"/>
      <c r="AC23" s="373">
        <f t="shared" si="10"/>
        <v>0</v>
      </c>
      <c r="AD23" s="368">
        <f t="shared" si="11"/>
        <v>0</v>
      </c>
      <c r="AE23" s="375"/>
      <c r="AF23" s="368">
        <v>0</v>
      </c>
      <c r="AG23" s="375"/>
      <c r="AH23" s="376"/>
      <c r="AI23" s="375">
        <f t="shared" si="21"/>
        <v>6797.1</v>
      </c>
      <c r="AJ23" s="366"/>
      <c r="AK23" s="366">
        <v>3</v>
      </c>
      <c r="AL23" s="366">
        <v>3</v>
      </c>
      <c r="AM23" s="366">
        <v>3</v>
      </c>
      <c r="AN23" s="366"/>
      <c r="AO23" s="366">
        <v>3</v>
      </c>
      <c r="AP23" s="366">
        <v>5400</v>
      </c>
      <c r="AQ23" s="366">
        <v>583</v>
      </c>
      <c r="AR23" s="366">
        <v>276</v>
      </c>
      <c r="AS23" s="366">
        <v>360</v>
      </c>
      <c r="AT23" s="366">
        <v>429</v>
      </c>
      <c r="AU23" s="366">
        <f t="shared" si="22"/>
        <v>10869</v>
      </c>
      <c r="AV23" s="366">
        <v>3623</v>
      </c>
      <c r="AW23" s="366">
        <v>7246</v>
      </c>
      <c r="AX23" s="366">
        <v>2970</v>
      </c>
      <c r="AY23" s="366">
        <v>260</v>
      </c>
      <c r="AZ23" s="366">
        <v>1085</v>
      </c>
      <c r="BA23" s="366">
        <v>1085</v>
      </c>
      <c r="BB23" s="366">
        <v>51</v>
      </c>
      <c r="BC23" s="366">
        <v>6</v>
      </c>
      <c r="BD23" s="366">
        <v>381</v>
      </c>
      <c r="BE23" s="366">
        <v>1011</v>
      </c>
      <c r="BF23" s="366"/>
      <c r="BG23" s="366">
        <v>11400</v>
      </c>
      <c r="BH23" s="366">
        <v>4905</v>
      </c>
      <c r="BI23" s="366">
        <v>135</v>
      </c>
      <c r="BJ23" s="366"/>
      <c r="BK23" s="366"/>
      <c r="BL23" s="366"/>
      <c r="BM23" s="366">
        <f>G23</f>
        <v>1</v>
      </c>
      <c r="BN23" s="366">
        <f>R23</f>
        <v>6797.1</v>
      </c>
      <c r="BO23" s="366">
        <f>S23</f>
        <v>4225</v>
      </c>
      <c r="BP23" s="366"/>
      <c r="BQ23" s="366"/>
      <c r="BR23" s="366"/>
      <c r="BS23" s="366"/>
      <c r="BT23" s="366">
        <v>2</v>
      </c>
      <c r="BU23" s="366"/>
      <c r="BV23" s="366"/>
      <c r="BW23" s="366"/>
      <c r="BX23" s="366"/>
      <c r="BY23" s="377">
        <v>1318.1</v>
      </c>
      <c r="BZ23" s="377">
        <v>1219.5999999999999</v>
      </c>
      <c r="CA23" s="378">
        <v>2139</v>
      </c>
      <c r="CB23" s="378">
        <f t="shared" si="1"/>
        <v>958</v>
      </c>
      <c r="CC23" s="379"/>
      <c r="CD23" s="380">
        <f t="shared" si="3"/>
        <v>3623</v>
      </c>
      <c r="CE23" s="379">
        <f t="shared" si="4"/>
        <v>1</v>
      </c>
      <c r="CF23" s="380">
        <f t="shared" si="5"/>
        <v>7246</v>
      </c>
      <c r="CG23" s="380">
        <f t="shared" si="13"/>
        <v>1</v>
      </c>
      <c r="CH23" s="380">
        <f t="shared" si="14"/>
        <v>10869</v>
      </c>
      <c r="CI23" s="356">
        <v>26</v>
      </c>
      <c r="CJ23" s="382" t="str">
        <f t="shared" si="15"/>
        <v>0</v>
      </c>
      <c r="CK23" s="382" t="str">
        <f t="shared" si="16"/>
        <v>0</v>
      </c>
      <c r="CL23" s="383">
        <f t="shared" si="17"/>
        <v>6.5586794368186432</v>
      </c>
      <c r="CM23" s="382" t="str">
        <f t="shared" si="18"/>
        <v>0</v>
      </c>
      <c r="CN23" s="382" t="str">
        <f t="shared" si="19"/>
        <v>0</v>
      </c>
      <c r="CO23" s="383">
        <f t="shared" si="20"/>
        <v>6.5586794368186432</v>
      </c>
      <c r="CP23" s="185">
        <v>1</v>
      </c>
      <c r="CQ23" s="185">
        <v>1</v>
      </c>
      <c r="CR23" s="185">
        <v>1</v>
      </c>
      <c r="CS23" s="185">
        <v>1</v>
      </c>
      <c r="CT23" s="185">
        <v>2</v>
      </c>
      <c r="CU23" s="185">
        <v>0</v>
      </c>
      <c r="CV23" s="185">
        <v>0</v>
      </c>
      <c r="CW23" s="185">
        <v>0</v>
      </c>
      <c r="CX23" s="185">
        <v>3</v>
      </c>
      <c r="CY23" s="188">
        <v>105</v>
      </c>
      <c r="CZ23" s="387">
        <v>98</v>
      </c>
      <c r="DA23" s="188">
        <v>7</v>
      </c>
      <c r="DB23" s="185">
        <v>96</v>
      </c>
      <c r="DC23" s="185">
        <v>58</v>
      </c>
      <c r="DD23" s="189">
        <v>170</v>
      </c>
      <c r="DE23" s="185">
        <v>78</v>
      </c>
      <c r="DF23" s="185">
        <v>58</v>
      </c>
      <c r="DG23" s="189">
        <v>170</v>
      </c>
      <c r="DH23" s="185">
        <v>79</v>
      </c>
      <c r="DI23" s="185">
        <v>6</v>
      </c>
      <c r="DJ23" s="185">
        <v>4</v>
      </c>
      <c r="DK23" s="188">
        <v>8</v>
      </c>
      <c r="DL23" s="185">
        <v>5</v>
      </c>
      <c r="DM23" s="185">
        <v>4</v>
      </c>
      <c r="DN23" s="188">
        <v>8</v>
      </c>
      <c r="DO23" s="185">
        <v>5</v>
      </c>
      <c r="DP23" s="184">
        <f t="shared" si="6"/>
        <v>105</v>
      </c>
      <c r="DQ23" s="185">
        <v>105</v>
      </c>
    </row>
    <row r="24" spans="1:122">
      <c r="A24" s="43" t="s">
        <v>96</v>
      </c>
      <c r="B24" s="361">
        <v>18</v>
      </c>
      <c r="C24" s="362" t="s">
        <v>79</v>
      </c>
      <c r="D24" s="363">
        <v>1954</v>
      </c>
      <c r="E24" s="364"/>
      <c r="F24" s="364" t="s">
        <v>29</v>
      </c>
      <c r="G24" s="365">
        <v>1</v>
      </c>
      <c r="H24" s="364">
        <v>6</v>
      </c>
      <c r="I24" s="364" t="s">
        <v>100</v>
      </c>
      <c r="J24" s="366">
        <v>36789</v>
      </c>
      <c r="K24" s="366">
        <v>2146</v>
      </c>
      <c r="L24" s="366">
        <v>3037</v>
      </c>
      <c r="M24" s="366">
        <v>0</v>
      </c>
      <c r="N24" s="366">
        <v>100</v>
      </c>
      <c r="O24" s="366">
        <v>299</v>
      </c>
      <c r="P24" s="366">
        <v>102</v>
      </c>
      <c r="Q24" s="367">
        <v>75</v>
      </c>
      <c r="R24" s="368">
        <v>7919.92</v>
      </c>
      <c r="S24" s="369">
        <v>4996.67</v>
      </c>
      <c r="T24" s="367">
        <f t="shared" si="7"/>
        <v>49</v>
      </c>
      <c r="U24" s="371">
        <f t="shared" si="8"/>
        <v>3850.4700000000003</v>
      </c>
      <c r="V24" s="371">
        <f t="shared" si="9"/>
        <v>2448.3200000000002</v>
      </c>
      <c r="W24" s="372">
        <v>51</v>
      </c>
      <c r="X24" s="373">
        <v>4069.45</v>
      </c>
      <c r="Y24" s="373">
        <v>2548.35</v>
      </c>
      <c r="Z24" s="374"/>
      <c r="AA24" s="374"/>
      <c r="AB24" s="374"/>
      <c r="AC24" s="373">
        <f t="shared" si="10"/>
        <v>364.6</v>
      </c>
      <c r="AD24" s="368">
        <f t="shared" si="11"/>
        <v>0</v>
      </c>
      <c r="AE24" s="375"/>
      <c r="AF24" s="368">
        <v>0</v>
      </c>
      <c r="AG24" s="375">
        <v>364.6</v>
      </c>
      <c r="AH24" s="376"/>
      <c r="AI24" s="375">
        <f t="shared" si="21"/>
        <v>8284.52</v>
      </c>
      <c r="AJ24" s="366"/>
      <c r="AK24" s="366"/>
      <c r="AL24" s="366">
        <v>5</v>
      </c>
      <c r="AM24" s="366"/>
      <c r="AN24" s="366"/>
      <c r="AO24" s="366">
        <v>1</v>
      </c>
      <c r="AP24" s="366">
        <v>5554</v>
      </c>
      <c r="AQ24" s="366">
        <v>583</v>
      </c>
      <c r="AR24" s="366">
        <v>360</v>
      </c>
      <c r="AS24" s="366">
        <v>386</v>
      </c>
      <c r="AT24" s="366">
        <v>150</v>
      </c>
      <c r="AU24" s="366">
        <f t="shared" si="22"/>
        <v>5705</v>
      </c>
      <c r="AV24" s="366"/>
      <c r="AW24" s="366">
        <v>5705</v>
      </c>
      <c r="AX24" s="366"/>
      <c r="AY24" s="366">
        <v>126</v>
      </c>
      <c r="AZ24" s="366">
        <v>2105</v>
      </c>
      <c r="BA24" s="366">
        <v>2105</v>
      </c>
      <c r="BB24" s="366">
        <v>25</v>
      </c>
      <c r="BC24" s="366">
        <v>10</v>
      </c>
      <c r="BD24" s="366">
        <v>418</v>
      </c>
      <c r="BE24" s="366">
        <v>1042</v>
      </c>
      <c r="BF24" s="366"/>
      <c r="BG24" s="366">
        <v>8500</v>
      </c>
      <c r="BH24" s="366">
        <v>190</v>
      </c>
      <c r="BI24" s="366"/>
      <c r="BJ24" s="366">
        <f>G24</f>
        <v>1</v>
      </c>
      <c r="BK24" s="366">
        <f>R24</f>
        <v>7919.92</v>
      </c>
      <c r="BL24" s="366">
        <f>S24</f>
        <v>4996.67</v>
      </c>
      <c r="BM24" s="366"/>
      <c r="BN24" s="366"/>
      <c r="BO24" s="366"/>
      <c r="BP24" s="366"/>
      <c r="BQ24" s="366"/>
      <c r="BR24" s="366"/>
      <c r="BS24" s="366"/>
      <c r="BT24" s="366">
        <v>4</v>
      </c>
      <c r="BU24" s="366">
        <f>BA24</f>
        <v>2105</v>
      </c>
      <c r="BV24" s="366">
        <v>6255</v>
      </c>
      <c r="BW24" s="366"/>
      <c r="BX24" s="366">
        <f>AP24</f>
        <v>5554</v>
      </c>
      <c r="BY24" s="377">
        <v>653.6</v>
      </c>
      <c r="BZ24" s="377">
        <v>653.6</v>
      </c>
      <c r="CA24" s="378">
        <v>5405</v>
      </c>
      <c r="CB24" s="378">
        <f t="shared" si="1"/>
        <v>3259</v>
      </c>
      <c r="CC24" s="379" t="str">
        <f t="shared" ref="CC24:CC54" si="24">IF(CD24&gt;0,G24,"0")</f>
        <v>0</v>
      </c>
      <c r="CD24" s="380">
        <f t="shared" si="3"/>
        <v>0</v>
      </c>
      <c r="CE24" s="379">
        <f t="shared" si="4"/>
        <v>1</v>
      </c>
      <c r="CF24" s="380">
        <f t="shared" si="5"/>
        <v>5705</v>
      </c>
      <c r="CG24" s="380">
        <f t="shared" si="13"/>
        <v>1</v>
      </c>
      <c r="CH24" s="380">
        <f t="shared" si="14"/>
        <v>5705</v>
      </c>
      <c r="CI24" s="356">
        <v>75</v>
      </c>
      <c r="CJ24" s="382">
        <f t="shared" si="15"/>
        <v>1</v>
      </c>
      <c r="CK24" s="382">
        <f t="shared" si="16"/>
        <v>7919.92</v>
      </c>
      <c r="CL24" s="383">
        <f t="shared" si="17"/>
        <v>51.382463459226855</v>
      </c>
      <c r="CM24" s="382" t="str">
        <f t="shared" si="18"/>
        <v>0</v>
      </c>
      <c r="CN24" s="382" t="str">
        <f t="shared" si="19"/>
        <v>0</v>
      </c>
      <c r="CO24" s="383">
        <f t="shared" si="20"/>
        <v>49.121131942466185</v>
      </c>
      <c r="CP24" s="185">
        <v>1</v>
      </c>
      <c r="CQ24" s="185">
        <v>0</v>
      </c>
      <c r="CR24" s="185">
        <v>0</v>
      </c>
      <c r="CS24" s="185">
        <v>0</v>
      </c>
      <c r="CT24" s="185">
        <v>2</v>
      </c>
      <c r="CU24" s="185">
        <v>0</v>
      </c>
      <c r="CV24" s="185">
        <v>0</v>
      </c>
      <c r="CW24" s="185">
        <v>0</v>
      </c>
      <c r="CX24" s="185">
        <v>0</v>
      </c>
      <c r="CY24" s="188">
        <v>100</v>
      </c>
      <c r="CZ24" s="387">
        <v>96</v>
      </c>
      <c r="DA24" s="188">
        <v>4</v>
      </c>
      <c r="DB24" s="185">
        <v>53</v>
      </c>
      <c r="DC24" s="185">
        <v>20</v>
      </c>
      <c r="DD24" s="189">
        <v>133</v>
      </c>
      <c r="DE24" s="185">
        <v>23</v>
      </c>
      <c r="DF24" s="185">
        <v>20</v>
      </c>
      <c r="DG24" s="189">
        <v>133</v>
      </c>
      <c r="DH24" s="185">
        <v>25</v>
      </c>
      <c r="DI24" s="185">
        <v>4</v>
      </c>
      <c r="DJ24" s="185">
        <v>0</v>
      </c>
      <c r="DK24" s="188">
        <v>28</v>
      </c>
      <c r="DL24" s="185">
        <v>0</v>
      </c>
      <c r="DM24" s="185">
        <v>0</v>
      </c>
      <c r="DN24" s="188">
        <v>28</v>
      </c>
      <c r="DO24" s="185">
        <v>0</v>
      </c>
      <c r="DP24" s="184">
        <f t="shared" si="6"/>
        <v>100</v>
      </c>
      <c r="DQ24" s="185">
        <v>60</v>
      </c>
    </row>
    <row r="25" spans="1:122">
      <c r="A25" s="43" t="s">
        <v>96</v>
      </c>
      <c r="B25" s="361">
        <v>19</v>
      </c>
      <c r="C25" s="362" t="s">
        <v>80</v>
      </c>
      <c r="D25" s="363">
        <v>1955</v>
      </c>
      <c r="E25" s="364"/>
      <c r="F25" s="364" t="s">
        <v>29</v>
      </c>
      <c r="G25" s="365">
        <v>1</v>
      </c>
      <c r="H25" s="364">
        <v>5</v>
      </c>
      <c r="I25" s="364" t="s">
        <v>100</v>
      </c>
      <c r="J25" s="366">
        <v>28754</v>
      </c>
      <c r="K25" s="366">
        <v>1656</v>
      </c>
      <c r="L25" s="366">
        <v>2023</v>
      </c>
      <c r="M25" s="366">
        <v>0</v>
      </c>
      <c r="N25" s="366">
        <v>76</v>
      </c>
      <c r="O25" s="366">
        <v>205</v>
      </c>
      <c r="P25" s="366">
        <v>78</v>
      </c>
      <c r="Q25" s="367">
        <v>131</v>
      </c>
      <c r="R25" s="368">
        <v>5686.6</v>
      </c>
      <c r="S25" s="369">
        <v>3516.96</v>
      </c>
      <c r="T25" s="367">
        <f t="shared" si="7"/>
        <v>51</v>
      </c>
      <c r="U25" s="371">
        <f t="shared" si="8"/>
        <v>3544.3</v>
      </c>
      <c r="V25" s="371">
        <f t="shared" si="9"/>
        <v>2145.3099999999995</v>
      </c>
      <c r="W25" s="372">
        <v>25</v>
      </c>
      <c r="X25" s="373">
        <v>2142.3000000000002</v>
      </c>
      <c r="Y25" s="373">
        <v>1371.6500000000005</v>
      </c>
      <c r="Z25" s="374"/>
      <c r="AA25" s="374"/>
      <c r="AB25" s="374"/>
      <c r="AC25" s="373">
        <f t="shared" si="10"/>
        <v>345.2</v>
      </c>
      <c r="AD25" s="368">
        <f t="shared" si="11"/>
        <v>0</v>
      </c>
      <c r="AE25" s="375"/>
      <c r="AF25" s="368">
        <v>0</v>
      </c>
      <c r="AG25" s="375">
        <v>345.2</v>
      </c>
      <c r="AH25" s="376"/>
      <c r="AI25" s="375">
        <f t="shared" si="21"/>
        <v>6031.8</v>
      </c>
      <c r="AJ25" s="366"/>
      <c r="AK25" s="366"/>
      <c r="AL25" s="366">
        <v>4</v>
      </c>
      <c r="AM25" s="366"/>
      <c r="AN25" s="366"/>
      <c r="AO25" s="366">
        <v>1</v>
      </c>
      <c r="AP25" s="366">
        <v>4400</v>
      </c>
      <c r="AQ25" s="366">
        <v>583</v>
      </c>
      <c r="AR25" s="366">
        <v>220</v>
      </c>
      <c r="AS25" s="366">
        <v>306</v>
      </c>
      <c r="AT25" s="366">
        <v>120</v>
      </c>
      <c r="AU25" s="366">
        <f t="shared" si="22"/>
        <v>3972</v>
      </c>
      <c r="AV25" s="366"/>
      <c r="AW25" s="366">
        <v>3972</v>
      </c>
      <c r="AX25" s="366"/>
      <c r="AY25" s="366">
        <v>96</v>
      </c>
      <c r="AZ25" s="366">
        <v>1654</v>
      </c>
      <c r="BA25" s="366">
        <v>1654</v>
      </c>
      <c r="BB25" s="366">
        <v>20</v>
      </c>
      <c r="BC25" s="366">
        <v>8</v>
      </c>
      <c r="BD25" s="366">
        <v>299</v>
      </c>
      <c r="BE25" s="366">
        <v>779</v>
      </c>
      <c r="BF25" s="366"/>
      <c r="BG25" s="366">
        <v>6023</v>
      </c>
      <c r="BH25" s="366">
        <v>152</v>
      </c>
      <c r="BI25" s="366"/>
      <c r="BJ25" s="366">
        <f>G25</f>
        <v>1</v>
      </c>
      <c r="BK25" s="366">
        <f>R25</f>
        <v>5686.6</v>
      </c>
      <c r="BL25" s="366">
        <f>S25</f>
        <v>3516.96</v>
      </c>
      <c r="BM25" s="366"/>
      <c r="BN25" s="366"/>
      <c r="BO25" s="366"/>
      <c r="BP25" s="366"/>
      <c r="BQ25" s="366"/>
      <c r="BR25" s="366"/>
      <c r="BS25" s="366"/>
      <c r="BT25" s="366">
        <v>2</v>
      </c>
      <c r="BU25" s="366">
        <f>BA25</f>
        <v>1654</v>
      </c>
      <c r="BV25" s="366">
        <v>5820</v>
      </c>
      <c r="BW25" s="366"/>
      <c r="BX25" s="366">
        <f>AP25</f>
        <v>4400</v>
      </c>
      <c r="BY25" s="377">
        <v>553.83999999999992</v>
      </c>
      <c r="BZ25" s="377">
        <v>553.84</v>
      </c>
      <c r="CA25" s="378">
        <v>3911</v>
      </c>
      <c r="CB25" s="378">
        <f t="shared" si="1"/>
        <v>2255</v>
      </c>
      <c r="CC25" s="379" t="str">
        <f t="shared" si="24"/>
        <v>0</v>
      </c>
      <c r="CD25" s="380">
        <f t="shared" si="3"/>
        <v>0</v>
      </c>
      <c r="CE25" s="379">
        <f t="shared" si="4"/>
        <v>1</v>
      </c>
      <c r="CF25" s="380">
        <f t="shared" si="5"/>
        <v>3972</v>
      </c>
      <c r="CG25" s="380">
        <f t="shared" si="13"/>
        <v>1</v>
      </c>
      <c r="CH25" s="380">
        <f t="shared" si="14"/>
        <v>3972</v>
      </c>
      <c r="CI25" s="356">
        <v>59</v>
      </c>
      <c r="CJ25" s="382" t="str">
        <f t="shared" si="15"/>
        <v>0</v>
      </c>
      <c r="CK25" s="382" t="str">
        <f t="shared" si="16"/>
        <v>0</v>
      </c>
      <c r="CL25" s="383">
        <f t="shared" si="17"/>
        <v>37.672774592902613</v>
      </c>
      <c r="CM25" s="382" t="str">
        <f t="shared" si="18"/>
        <v>0</v>
      </c>
      <c r="CN25" s="382" t="str">
        <f t="shared" si="19"/>
        <v>0</v>
      </c>
      <c r="CO25" s="383">
        <f t="shared" si="20"/>
        <v>35.516761165821151</v>
      </c>
      <c r="CP25" s="185">
        <v>1</v>
      </c>
      <c r="CQ25" s="185">
        <v>0</v>
      </c>
      <c r="CR25" s="185">
        <v>0</v>
      </c>
      <c r="CS25" s="185">
        <v>0</v>
      </c>
      <c r="CT25" s="185">
        <v>1</v>
      </c>
      <c r="CU25" s="185">
        <v>0</v>
      </c>
      <c r="CV25" s="185">
        <v>0</v>
      </c>
      <c r="CW25" s="185">
        <v>0</v>
      </c>
      <c r="CX25" s="185">
        <v>0</v>
      </c>
      <c r="CY25" s="188">
        <v>76</v>
      </c>
      <c r="CZ25" s="387">
        <v>72</v>
      </c>
      <c r="DA25" s="188">
        <v>4</v>
      </c>
      <c r="DB25" s="185">
        <v>52</v>
      </c>
      <c r="DC25" s="185">
        <v>28</v>
      </c>
      <c r="DD25" s="189">
        <v>92</v>
      </c>
      <c r="DE25" s="185">
        <v>28</v>
      </c>
      <c r="DF25" s="185">
        <v>28</v>
      </c>
      <c r="DG25" s="189">
        <v>92</v>
      </c>
      <c r="DH25" s="185">
        <v>28</v>
      </c>
      <c r="DI25" s="185">
        <v>3</v>
      </c>
      <c r="DJ25" s="185">
        <v>0</v>
      </c>
      <c r="DK25" s="188">
        <v>21</v>
      </c>
      <c r="DL25" s="185">
        <v>0</v>
      </c>
      <c r="DM25" s="185">
        <v>0</v>
      </c>
      <c r="DN25" s="188">
        <v>21</v>
      </c>
      <c r="DO25" s="185">
        <v>0</v>
      </c>
      <c r="DP25" s="184">
        <f t="shared" si="6"/>
        <v>76</v>
      </c>
      <c r="DQ25" s="185">
        <v>47</v>
      </c>
    </row>
    <row r="26" spans="1:122">
      <c r="A26" s="43" t="s">
        <v>96</v>
      </c>
      <c r="B26" s="361">
        <v>20</v>
      </c>
      <c r="C26" s="362" t="s">
        <v>81</v>
      </c>
      <c r="D26" s="363">
        <v>1988</v>
      </c>
      <c r="E26" s="364"/>
      <c r="F26" s="364" t="s">
        <v>28</v>
      </c>
      <c r="G26" s="365">
        <v>1</v>
      </c>
      <c r="H26" s="364">
        <v>9</v>
      </c>
      <c r="I26" s="364" t="s">
        <v>99</v>
      </c>
      <c r="J26" s="366">
        <v>29422</v>
      </c>
      <c r="K26" s="366">
        <v>1192</v>
      </c>
      <c r="L26" s="366"/>
      <c r="M26" s="366">
        <v>1109</v>
      </c>
      <c r="N26" s="366">
        <v>100</v>
      </c>
      <c r="O26" s="366">
        <v>273</v>
      </c>
      <c r="P26" s="366">
        <v>102</v>
      </c>
      <c r="Q26" s="367">
        <v>245</v>
      </c>
      <c r="R26" s="368">
        <v>6516</v>
      </c>
      <c r="S26" s="369">
        <v>4048.2</v>
      </c>
      <c r="T26" s="367">
        <f t="shared" si="7"/>
        <v>87</v>
      </c>
      <c r="U26" s="371">
        <f t="shared" si="8"/>
        <v>5711.1</v>
      </c>
      <c r="V26" s="371">
        <f t="shared" si="9"/>
        <v>3551.6</v>
      </c>
      <c r="W26" s="372">
        <v>13</v>
      </c>
      <c r="X26" s="373">
        <v>804.9</v>
      </c>
      <c r="Y26" s="373">
        <v>496.6</v>
      </c>
      <c r="Z26" s="374"/>
      <c r="AA26" s="374"/>
      <c r="AB26" s="374"/>
      <c r="AC26" s="373">
        <f t="shared" si="10"/>
        <v>192.2</v>
      </c>
      <c r="AD26" s="368">
        <f t="shared" si="11"/>
        <v>0</v>
      </c>
      <c r="AE26" s="375"/>
      <c r="AF26" s="368">
        <v>0</v>
      </c>
      <c r="AG26" s="375">
        <v>192.2</v>
      </c>
      <c r="AH26" s="376"/>
      <c r="AI26" s="375">
        <f t="shared" si="21"/>
        <v>6708.2</v>
      </c>
      <c r="AJ26" s="366"/>
      <c r="AK26" s="366">
        <v>3</v>
      </c>
      <c r="AL26" s="366">
        <v>3</v>
      </c>
      <c r="AM26" s="366">
        <v>3</v>
      </c>
      <c r="AN26" s="366"/>
      <c r="AO26" s="366">
        <v>3</v>
      </c>
      <c r="AP26" s="366">
        <v>5400</v>
      </c>
      <c r="AQ26" s="366"/>
      <c r="AR26" s="366">
        <v>390</v>
      </c>
      <c r="AS26" s="366">
        <v>270</v>
      </c>
      <c r="AT26" s="366">
        <v>429</v>
      </c>
      <c r="AU26" s="366">
        <f t="shared" si="22"/>
        <v>10869</v>
      </c>
      <c r="AV26" s="366"/>
      <c r="AW26" s="366">
        <v>10869</v>
      </c>
      <c r="AX26" s="366">
        <v>2970</v>
      </c>
      <c r="AY26" s="366">
        <v>188</v>
      </c>
      <c r="AZ26" s="366">
        <v>1075</v>
      </c>
      <c r="BA26" s="366">
        <v>1075</v>
      </c>
      <c r="BB26" s="366">
        <v>51</v>
      </c>
      <c r="BC26" s="366">
        <v>6</v>
      </c>
      <c r="BD26" s="366">
        <v>384</v>
      </c>
      <c r="BE26" s="366">
        <v>996</v>
      </c>
      <c r="BF26" s="366"/>
      <c r="BG26" s="366">
        <v>11400</v>
      </c>
      <c r="BH26" s="366">
        <v>4905</v>
      </c>
      <c r="BI26" s="366">
        <v>135</v>
      </c>
      <c r="BJ26" s="366"/>
      <c r="BK26" s="366"/>
      <c r="BL26" s="366"/>
      <c r="BM26" s="366">
        <f>G26</f>
        <v>1</v>
      </c>
      <c r="BN26" s="366">
        <f>R26</f>
        <v>6516</v>
      </c>
      <c r="BO26" s="366">
        <f>S26</f>
        <v>4048.2</v>
      </c>
      <c r="BP26" s="366"/>
      <c r="BQ26" s="366"/>
      <c r="BR26" s="366"/>
      <c r="BS26" s="366"/>
      <c r="BT26" s="366">
        <v>3</v>
      </c>
      <c r="BU26" s="366"/>
      <c r="BV26" s="366"/>
      <c r="BW26" s="366"/>
      <c r="BX26" s="366"/>
      <c r="BY26" s="377">
        <v>2241.5</v>
      </c>
      <c r="BZ26" s="377">
        <v>1164.5</v>
      </c>
      <c r="CA26" s="378">
        <v>2287</v>
      </c>
      <c r="CB26" s="378">
        <f t="shared" si="1"/>
        <v>1095</v>
      </c>
      <c r="CC26" s="379" t="str">
        <f t="shared" si="24"/>
        <v>0</v>
      </c>
      <c r="CD26" s="380">
        <f t="shared" si="3"/>
        <v>0</v>
      </c>
      <c r="CE26" s="379">
        <f t="shared" si="4"/>
        <v>1</v>
      </c>
      <c r="CF26" s="380">
        <f t="shared" si="5"/>
        <v>10869</v>
      </c>
      <c r="CG26" s="380">
        <f t="shared" si="13"/>
        <v>1</v>
      </c>
      <c r="CH26" s="380">
        <f t="shared" si="14"/>
        <v>10869</v>
      </c>
      <c r="CI26" s="356">
        <v>32</v>
      </c>
      <c r="CJ26" s="382" t="str">
        <f t="shared" si="15"/>
        <v>0</v>
      </c>
      <c r="CK26" s="382" t="str">
        <f t="shared" si="16"/>
        <v>0</v>
      </c>
      <c r="CL26" s="383">
        <f t="shared" si="17"/>
        <v>12.352670349907918</v>
      </c>
      <c r="CM26" s="382" t="str">
        <f t="shared" si="18"/>
        <v>0</v>
      </c>
      <c r="CN26" s="382" t="str">
        <f t="shared" si="19"/>
        <v>0</v>
      </c>
      <c r="CO26" s="383">
        <f t="shared" si="20"/>
        <v>11.998747801198533</v>
      </c>
      <c r="CP26" s="185">
        <v>1</v>
      </c>
      <c r="CQ26" s="185">
        <v>0</v>
      </c>
      <c r="CR26" s="185">
        <v>0</v>
      </c>
      <c r="CS26" s="185">
        <v>0</v>
      </c>
      <c r="CT26" s="185">
        <v>2</v>
      </c>
      <c r="CU26" s="185">
        <v>0</v>
      </c>
      <c r="CV26" s="185">
        <v>0</v>
      </c>
      <c r="CW26" s="185">
        <v>0</v>
      </c>
      <c r="CX26" s="185">
        <v>0</v>
      </c>
      <c r="CY26" s="188">
        <v>100</v>
      </c>
      <c r="CZ26" s="387">
        <v>92</v>
      </c>
      <c r="DA26" s="188">
        <v>8</v>
      </c>
      <c r="DB26" s="185">
        <v>86</v>
      </c>
      <c r="DC26" s="185">
        <v>56</v>
      </c>
      <c r="DD26" s="189">
        <v>150</v>
      </c>
      <c r="DE26" s="185">
        <v>73</v>
      </c>
      <c r="DF26" s="185">
        <v>56</v>
      </c>
      <c r="DG26" s="189">
        <v>150</v>
      </c>
      <c r="DH26" s="185">
        <v>74</v>
      </c>
      <c r="DI26" s="185">
        <v>8</v>
      </c>
      <c r="DJ26" s="185">
        <v>4</v>
      </c>
      <c r="DK26" s="188">
        <v>19</v>
      </c>
      <c r="DL26" s="185">
        <v>5</v>
      </c>
      <c r="DM26" s="185">
        <v>4</v>
      </c>
      <c r="DN26" s="188">
        <v>19</v>
      </c>
      <c r="DO26" s="185">
        <v>5</v>
      </c>
      <c r="DP26" s="184">
        <f t="shared" si="6"/>
        <v>100</v>
      </c>
      <c r="DQ26" s="185">
        <v>100</v>
      </c>
    </row>
    <row r="27" spans="1:122">
      <c r="A27" s="43" t="s">
        <v>96</v>
      </c>
      <c r="B27" s="361">
        <v>21</v>
      </c>
      <c r="C27" s="362" t="s">
        <v>113</v>
      </c>
      <c r="D27" s="363">
        <v>1983</v>
      </c>
      <c r="E27" s="364"/>
      <c r="F27" s="364" t="s">
        <v>28</v>
      </c>
      <c r="G27" s="365">
        <v>1</v>
      </c>
      <c r="H27" s="364">
        <v>9</v>
      </c>
      <c r="I27" s="364" t="s">
        <v>112</v>
      </c>
      <c r="J27" s="366">
        <f>19786+9827+19410</f>
        <v>49023</v>
      </c>
      <c r="K27" s="366">
        <f>777+413+746</f>
        <v>1936</v>
      </c>
      <c r="L27" s="366"/>
      <c r="M27" s="366">
        <f>741+381+719</f>
        <v>1841</v>
      </c>
      <c r="N27" s="366">
        <v>175</v>
      </c>
      <c r="O27" s="366">
        <v>445</v>
      </c>
      <c r="P27" s="366">
        <v>177</v>
      </c>
      <c r="Q27" s="367">
        <v>407</v>
      </c>
      <c r="R27" s="368">
        <v>10834.3</v>
      </c>
      <c r="S27" s="369">
        <v>6635.8</v>
      </c>
      <c r="T27" s="367">
        <f t="shared" si="7"/>
        <v>160</v>
      </c>
      <c r="U27" s="389">
        <f t="shared" si="8"/>
        <v>9921.9</v>
      </c>
      <c r="V27" s="389">
        <f t="shared" si="9"/>
        <v>6082.8</v>
      </c>
      <c r="W27" s="372">
        <v>15</v>
      </c>
      <c r="X27" s="373">
        <v>912.4</v>
      </c>
      <c r="Y27" s="373">
        <v>553</v>
      </c>
      <c r="Z27" s="374"/>
      <c r="AA27" s="374"/>
      <c r="AB27" s="374"/>
      <c r="AC27" s="373">
        <f t="shared" si="10"/>
        <v>0</v>
      </c>
      <c r="AD27" s="368">
        <f t="shared" si="11"/>
        <v>0</v>
      </c>
      <c r="AE27" s="375"/>
      <c r="AF27" s="368">
        <v>0</v>
      </c>
      <c r="AG27" s="375"/>
      <c r="AH27" s="376"/>
      <c r="AI27" s="375">
        <f t="shared" si="21"/>
        <v>10834.3</v>
      </c>
      <c r="AJ27" s="366"/>
      <c r="AK27" s="366">
        <f>2+1+2</f>
        <v>5</v>
      </c>
      <c r="AL27" s="366">
        <f t="shared" ref="AL27:AO27" si="25">2+1+2</f>
        <v>5</v>
      </c>
      <c r="AM27" s="366">
        <f t="shared" si="25"/>
        <v>5</v>
      </c>
      <c r="AN27" s="366"/>
      <c r="AO27" s="366">
        <f t="shared" si="25"/>
        <v>5</v>
      </c>
      <c r="AP27" s="366">
        <f>3480+2130+3480</f>
        <v>9090</v>
      </c>
      <c r="AQ27" s="366"/>
      <c r="AR27" s="366">
        <v>855</v>
      </c>
      <c r="AS27" s="366">
        <f>140+175+106</f>
        <v>421</v>
      </c>
      <c r="AT27" s="366">
        <f>286+143+286</f>
        <v>715</v>
      </c>
      <c r="AU27" s="366">
        <f t="shared" si="22"/>
        <v>19928</v>
      </c>
      <c r="AV27" s="366">
        <f>7246+5436+7246</f>
        <v>19928</v>
      </c>
      <c r="AW27" s="366"/>
      <c r="AX27" s="366">
        <f>1900+1900</f>
        <v>3800</v>
      </c>
      <c r="AY27" s="366">
        <f>169+103+163</f>
        <v>435</v>
      </c>
      <c r="AZ27" s="366">
        <f>720+350+706</f>
        <v>1776</v>
      </c>
      <c r="BA27" s="366">
        <f>720+350+706</f>
        <v>1776</v>
      </c>
      <c r="BB27" s="366">
        <f>34+17+34</f>
        <v>85</v>
      </c>
      <c r="BC27" s="366">
        <f>4+2+4</f>
        <v>10</v>
      </c>
      <c r="BD27" s="366">
        <f>257+106+257</f>
        <v>620</v>
      </c>
      <c r="BE27" s="366">
        <f>607+298+677</f>
        <v>1582</v>
      </c>
      <c r="BF27" s="366"/>
      <c r="BG27" s="366">
        <f>7600+3800+7600</f>
        <v>19000</v>
      </c>
      <c r="BH27" s="366">
        <f>3270+1635+3270</f>
        <v>8175</v>
      </c>
      <c r="BI27" s="366">
        <f>90+45+90</f>
        <v>225</v>
      </c>
      <c r="BJ27" s="366"/>
      <c r="BK27" s="366"/>
      <c r="BL27" s="366"/>
      <c r="BM27" s="356"/>
      <c r="BN27" s="356"/>
      <c r="BO27" s="356"/>
      <c r="BP27" s="366">
        <f>G27</f>
        <v>1</v>
      </c>
      <c r="BQ27" s="366">
        <f>R27</f>
        <v>10834.3</v>
      </c>
      <c r="BR27" s="366">
        <f>S27</f>
        <v>6635.8</v>
      </c>
      <c r="BS27" s="366"/>
      <c r="BT27" s="366">
        <v>6</v>
      </c>
      <c r="BU27" s="366"/>
      <c r="BV27" s="366"/>
      <c r="BW27" s="366"/>
      <c r="BX27" s="366">
        <v>2130</v>
      </c>
      <c r="BY27" s="377">
        <v>2429.6</v>
      </c>
      <c r="BZ27" s="377">
        <v>1936.2</v>
      </c>
      <c r="CA27" s="378">
        <v>4129</v>
      </c>
      <c r="CB27" s="378">
        <f t="shared" si="1"/>
        <v>2193</v>
      </c>
      <c r="CC27" s="379">
        <f t="shared" si="24"/>
        <v>1</v>
      </c>
      <c r="CD27" s="380">
        <f t="shared" si="3"/>
        <v>19928</v>
      </c>
      <c r="CE27" s="379" t="str">
        <f t="shared" si="4"/>
        <v>0</v>
      </c>
      <c r="CF27" s="380">
        <f t="shared" si="5"/>
        <v>0</v>
      </c>
      <c r="CG27" s="380">
        <f t="shared" si="13"/>
        <v>1</v>
      </c>
      <c r="CH27" s="380">
        <f t="shared" si="14"/>
        <v>19928</v>
      </c>
      <c r="CI27" s="356">
        <v>28</v>
      </c>
      <c r="CJ27" s="382" t="str">
        <f t="shared" si="15"/>
        <v>0</v>
      </c>
      <c r="CK27" s="382" t="str">
        <f t="shared" si="16"/>
        <v>0</v>
      </c>
      <c r="CL27" s="383">
        <f t="shared" si="17"/>
        <v>8.4214023979398771</v>
      </c>
      <c r="CM27" s="382" t="str">
        <f t="shared" si="18"/>
        <v>0</v>
      </c>
      <c r="CN27" s="382" t="str">
        <f t="shared" si="19"/>
        <v>0</v>
      </c>
      <c r="CO27" s="383">
        <f t="shared" si="20"/>
        <v>8.4214023979398771</v>
      </c>
      <c r="CP27" s="185">
        <v>1</v>
      </c>
      <c r="CQ27" s="185">
        <v>0</v>
      </c>
      <c r="CR27" s="185">
        <v>0</v>
      </c>
      <c r="CS27" s="185">
        <v>0</v>
      </c>
      <c r="CT27" s="185">
        <v>4</v>
      </c>
      <c r="CU27" s="185">
        <v>0</v>
      </c>
      <c r="CV27" s="185">
        <v>0</v>
      </c>
      <c r="CW27" s="185">
        <v>0</v>
      </c>
      <c r="CX27" s="185">
        <v>0</v>
      </c>
      <c r="CY27" s="188">
        <v>175</v>
      </c>
      <c r="CZ27" s="387">
        <v>165</v>
      </c>
      <c r="DA27" s="188">
        <v>10</v>
      </c>
      <c r="DB27" s="185">
        <v>148</v>
      </c>
      <c r="DC27" s="185">
        <v>116</v>
      </c>
      <c r="DD27" s="189">
        <v>275</v>
      </c>
      <c r="DE27" s="185">
        <v>152</v>
      </c>
      <c r="DF27" s="185">
        <v>116</v>
      </c>
      <c r="DG27" s="189">
        <v>275</v>
      </c>
      <c r="DH27" s="185">
        <v>132</v>
      </c>
      <c r="DI27" s="185">
        <v>6</v>
      </c>
      <c r="DJ27" s="185">
        <v>3</v>
      </c>
      <c r="DK27" s="188">
        <v>6</v>
      </c>
      <c r="DL27" s="185">
        <v>3</v>
      </c>
      <c r="DM27" s="185">
        <v>3</v>
      </c>
      <c r="DN27" s="188">
        <v>6</v>
      </c>
      <c r="DO27" s="185">
        <v>3</v>
      </c>
      <c r="DP27" s="184">
        <f t="shared" si="6"/>
        <v>175</v>
      </c>
      <c r="DQ27" s="185">
        <v>175</v>
      </c>
    </row>
    <row r="28" spans="1:122">
      <c r="A28" s="43" t="s">
        <v>96</v>
      </c>
      <c r="B28" s="361">
        <v>22</v>
      </c>
      <c r="C28" s="362" t="s">
        <v>82</v>
      </c>
      <c r="D28" s="363">
        <v>1983</v>
      </c>
      <c r="E28" s="364"/>
      <c r="F28" s="364" t="s">
        <v>28</v>
      </c>
      <c r="G28" s="365">
        <v>1</v>
      </c>
      <c r="H28" s="364">
        <v>9</v>
      </c>
      <c r="I28" s="364" t="s">
        <v>99</v>
      </c>
      <c r="J28" s="366">
        <v>19920</v>
      </c>
      <c r="K28" s="366">
        <v>765</v>
      </c>
      <c r="L28" s="366"/>
      <c r="M28" s="366">
        <v>763</v>
      </c>
      <c r="N28" s="366">
        <v>70</v>
      </c>
      <c r="O28" s="366">
        <v>196</v>
      </c>
      <c r="P28" s="366">
        <v>71</v>
      </c>
      <c r="Q28" s="367">
        <v>164</v>
      </c>
      <c r="R28" s="368">
        <v>4562</v>
      </c>
      <c r="S28" s="369">
        <v>2875.8</v>
      </c>
      <c r="T28" s="367">
        <f t="shared" si="7"/>
        <v>60</v>
      </c>
      <c r="U28" s="371">
        <f t="shared" si="8"/>
        <v>3869.2</v>
      </c>
      <c r="V28" s="371">
        <f t="shared" si="9"/>
        <v>2439.2999999999997</v>
      </c>
      <c r="W28" s="372">
        <v>10</v>
      </c>
      <c r="X28" s="373">
        <v>692.8</v>
      </c>
      <c r="Y28" s="373">
        <v>436.50000000000045</v>
      </c>
      <c r="Z28" s="374"/>
      <c r="AA28" s="374"/>
      <c r="AB28" s="374"/>
      <c r="AC28" s="373">
        <f t="shared" si="10"/>
        <v>0</v>
      </c>
      <c r="AD28" s="368">
        <f t="shared" si="11"/>
        <v>0</v>
      </c>
      <c r="AE28" s="375"/>
      <c r="AF28" s="368">
        <v>0</v>
      </c>
      <c r="AG28" s="375"/>
      <c r="AH28" s="376"/>
      <c r="AI28" s="375">
        <f t="shared" si="21"/>
        <v>4562</v>
      </c>
      <c r="AJ28" s="366"/>
      <c r="AK28" s="366">
        <v>2</v>
      </c>
      <c r="AL28" s="366">
        <v>2</v>
      </c>
      <c r="AM28" s="366">
        <v>2</v>
      </c>
      <c r="AN28" s="366"/>
      <c r="AO28" s="366">
        <v>2</v>
      </c>
      <c r="AP28" s="366">
        <v>3930</v>
      </c>
      <c r="AQ28" s="366"/>
      <c r="AR28" s="366">
        <v>305</v>
      </c>
      <c r="AS28" s="366">
        <v>223</v>
      </c>
      <c r="AT28" s="366">
        <v>286</v>
      </c>
      <c r="AU28" s="366">
        <f t="shared" si="22"/>
        <v>7246</v>
      </c>
      <c r="AV28" s="366"/>
      <c r="AW28" s="366">
        <v>7246</v>
      </c>
      <c r="AX28" s="366">
        <v>2140</v>
      </c>
      <c r="AY28" s="366">
        <v>167</v>
      </c>
      <c r="AZ28" s="366">
        <v>740</v>
      </c>
      <c r="BA28" s="366">
        <v>740</v>
      </c>
      <c r="BB28" s="366">
        <v>34</v>
      </c>
      <c r="BC28" s="366">
        <v>4</v>
      </c>
      <c r="BD28" s="366">
        <v>260</v>
      </c>
      <c r="BE28" s="366">
        <v>670</v>
      </c>
      <c r="BF28" s="366"/>
      <c r="BG28" s="366">
        <v>7600</v>
      </c>
      <c r="BH28" s="366">
        <v>3270</v>
      </c>
      <c r="BI28" s="366">
        <v>90</v>
      </c>
      <c r="BJ28" s="366"/>
      <c r="BK28" s="366"/>
      <c r="BL28" s="366"/>
      <c r="BM28" s="366">
        <f>G28</f>
        <v>1</v>
      </c>
      <c r="BN28" s="366">
        <f>R28</f>
        <v>4562</v>
      </c>
      <c r="BO28" s="366">
        <f>S28</f>
        <v>2875.8</v>
      </c>
      <c r="BP28" s="366"/>
      <c r="BQ28" s="366"/>
      <c r="BR28" s="366"/>
      <c r="BS28" s="366"/>
      <c r="BT28" s="366">
        <v>2</v>
      </c>
      <c r="BU28" s="366"/>
      <c r="BV28" s="366"/>
      <c r="BW28" s="366"/>
      <c r="BX28" s="366"/>
      <c r="BY28" s="377">
        <v>831.6</v>
      </c>
      <c r="BZ28" s="377">
        <v>746.6</v>
      </c>
      <c r="CA28" s="378">
        <v>1481</v>
      </c>
      <c r="CB28" s="378">
        <f t="shared" si="1"/>
        <v>716</v>
      </c>
      <c r="CC28" s="379" t="str">
        <f t="shared" si="24"/>
        <v>0</v>
      </c>
      <c r="CD28" s="380">
        <f t="shared" si="3"/>
        <v>0</v>
      </c>
      <c r="CE28" s="379">
        <f t="shared" si="4"/>
        <v>1</v>
      </c>
      <c r="CF28" s="380">
        <f t="shared" si="5"/>
        <v>7246</v>
      </c>
      <c r="CG28" s="380">
        <f t="shared" si="13"/>
        <v>1</v>
      </c>
      <c r="CH28" s="380">
        <f t="shared" si="14"/>
        <v>7246</v>
      </c>
      <c r="CI28" s="356">
        <v>34</v>
      </c>
      <c r="CJ28" s="382" t="str">
        <f t="shared" si="15"/>
        <v>0</v>
      </c>
      <c r="CK28" s="382" t="str">
        <f t="shared" si="16"/>
        <v>0</v>
      </c>
      <c r="CL28" s="383">
        <f t="shared" si="17"/>
        <v>15.186321788689169</v>
      </c>
      <c r="CM28" s="382" t="str">
        <f t="shared" si="18"/>
        <v>0</v>
      </c>
      <c r="CN28" s="382" t="str">
        <f t="shared" si="19"/>
        <v>0</v>
      </c>
      <c r="CO28" s="383">
        <f t="shared" si="20"/>
        <v>15.186321788689169</v>
      </c>
      <c r="CP28" s="185">
        <v>1</v>
      </c>
      <c r="CQ28" s="185">
        <v>0</v>
      </c>
      <c r="CR28" s="185">
        <v>0</v>
      </c>
      <c r="CS28" s="185">
        <v>0</v>
      </c>
      <c r="CT28" s="185">
        <v>2</v>
      </c>
      <c r="CU28" s="185">
        <v>0</v>
      </c>
      <c r="CV28" s="185">
        <v>0</v>
      </c>
      <c r="CW28" s="185">
        <v>0</v>
      </c>
      <c r="CX28" s="185">
        <v>0</v>
      </c>
      <c r="CY28" s="188">
        <v>70</v>
      </c>
      <c r="CZ28" s="387">
        <v>61</v>
      </c>
      <c r="DA28" s="188">
        <v>9</v>
      </c>
      <c r="DB28" s="185">
        <v>58</v>
      </c>
      <c r="DC28" s="185">
        <v>55</v>
      </c>
      <c r="DD28" s="189">
        <v>113</v>
      </c>
      <c r="DE28" s="185">
        <v>42</v>
      </c>
      <c r="DF28" s="185">
        <v>55</v>
      </c>
      <c r="DG28" s="189">
        <v>113</v>
      </c>
      <c r="DH28" s="185">
        <v>42</v>
      </c>
      <c r="DI28" s="185">
        <v>7</v>
      </c>
      <c r="DJ28" s="185">
        <v>2</v>
      </c>
      <c r="DK28" s="188">
        <v>9</v>
      </c>
      <c r="DL28" s="185">
        <v>3</v>
      </c>
      <c r="DM28" s="185">
        <v>2</v>
      </c>
      <c r="DN28" s="188">
        <v>9</v>
      </c>
      <c r="DO28" s="185">
        <v>3</v>
      </c>
      <c r="DP28" s="184">
        <f t="shared" si="6"/>
        <v>70</v>
      </c>
      <c r="DQ28" s="185">
        <v>70</v>
      </c>
    </row>
    <row r="29" spans="1:122">
      <c r="A29" s="43" t="s">
        <v>96</v>
      </c>
      <c r="B29" s="361">
        <v>23</v>
      </c>
      <c r="C29" s="362" t="s">
        <v>86</v>
      </c>
      <c r="D29" s="363">
        <v>1951</v>
      </c>
      <c r="E29" s="364"/>
      <c r="F29" s="364" t="s">
        <v>29</v>
      </c>
      <c r="G29" s="365">
        <v>1</v>
      </c>
      <c r="H29" s="364">
        <v>5</v>
      </c>
      <c r="I29" s="364" t="s">
        <v>100</v>
      </c>
      <c r="J29" s="366">
        <v>35082</v>
      </c>
      <c r="K29" s="366">
        <v>1910</v>
      </c>
      <c r="L29" s="366">
        <v>2296</v>
      </c>
      <c r="M29" s="366">
        <v>0</v>
      </c>
      <c r="N29" s="366">
        <v>72</v>
      </c>
      <c r="O29" s="366">
        <v>185</v>
      </c>
      <c r="P29" s="366">
        <v>77</v>
      </c>
      <c r="Q29" s="367">
        <v>144</v>
      </c>
      <c r="R29" s="368">
        <v>5981.1</v>
      </c>
      <c r="S29" s="369">
        <v>3611.82</v>
      </c>
      <c r="T29" s="367">
        <f t="shared" si="7"/>
        <v>70</v>
      </c>
      <c r="U29" s="371">
        <f t="shared" si="8"/>
        <v>5825.5700000000006</v>
      </c>
      <c r="V29" s="371">
        <f t="shared" si="9"/>
        <v>3523.27</v>
      </c>
      <c r="W29" s="372">
        <v>2</v>
      </c>
      <c r="X29" s="373">
        <v>155.53</v>
      </c>
      <c r="Y29" s="373">
        <v>88.55</v>
      </c>
      <c r="Z29" s="374"/>
      <c r="AA29" s="374"/>
      <c r="AB29" s="374"/>
      <c r="AC29" s="373">
        <f t="shared" si="10"/>
        <v>1218.04</v>
      </c>
      <c r="AD29" s="368">
        <f t="shared" si="11"/>
        <v>452.94</v>
      </c>
      <c r="AE29" s="375"/>
      <c r="AF29" s="368">
        <f>719.14-266.2</f>
        <v>452.94</v>
      </c>
      <c r="AG29" s="375">
        <f>498.9+266.2</f>
        <v>765.09999999999991</v>
      </c>
      <c r="AH29" s="376"/>
      <c r="AI29" s="375">
        <f t="shared" si="21"/>
        <v>7199.14</v>
      </c>
      <c r="AJ29" s="366"/>
      <c r="AK29" s="366"/>
      <c r="AL29" s="366">
        <v>4</v>
      </c>
      <c r="AM29" s="366"/>
      <c r="AN29" s="366"/>
      <c r="AO29" s="366">
        <v>1</v>
      </c>
      <c r="AP29" s="366">
        <v>4640</v>
      </c>
      <c r="AQ29" s="366">
        <v>1376</v>
      </c>
      <c r="AR29" s="366">
        <v>360</v>
      </c>
      <c r="AS29" s="366">
        <v>270</v>
      </c>
      <c r="AT29" s="366">
        <v>120</v>
      </c>
      <c r="AU29" s="366">
        <f t="shared" si="22"/>
        <v>3972</v>
      </c>
      <c r="AV29" s="366"/>
      <c r="AW29" s="366">
        <v>3972</v>
      </c>
      <c r="AX29" s="366"/>
      <c r="AY29" s="366">
        <v>128</v>
      </c>
      <c r="AZ29" s="366">
        <v>1920</v>
      </c>
      <c r="BA29" s="366">
        <v>1920</v>
      </c>
      <c r="BB29" s="366">
        <v>20</v>
      </c>
      <c r="BC29" s="366">
        <v>8</v>
      </c>
      <c r="BD29" s="366">
        <v>328</v>
      </c>
      <c r="BE29" s="366">
        <v>688</v>
      </c>
      <c r="BF29" s="366"/>
      <c r="BG29" s="366">
        <v>5351</v>
      </c>
      <c r="BH29" s="366">
        <v>152</v>
      </c>
      <c r="BI29" s="366"/>
      <c r="BJ29" s="366">
        <f t="shared" ref="BJ29:BJ35" si="26">G29</f>
        <v>1</v>
      </c>
      <c r="BK29" s="366">
        <f t="shared" ref="BK29:BL35" si="27">R29</f>
        <v>5981.1</v>
      </c>
      <c r="BL29" s="366">
        <f t="shared" si="27"/>
        <v>3611.82</v>
      </c>
      <c r="BM29" s="366"/>
      <c r="BN29" s="366"/>
      <c r="BO29" s="366"/>
      <c r="BP29" s="366"/>
      <c r="BQ29" s="366"/>
      <c r="BR29" s="366"/>
      <c r="BS29" s="366"/>
      <c r="BT29" s="366">
        <v>6</v>
      </c>
      <c r="BU29" s="366">
        <f t="shared" ref="BU29:BU35" si="28">BA29</f>
        <v>1920</v>
      </c>
      <c r="BV29" s="366">
        <v>5217</v>
      </c>
      <c r="BW29" s="366"/>
      <c r="BX29" s="366">
        <f t="shared" ref="BX29:BX35" si="29">AP29</f>
        <v>4640</v>
      </c>
      <c r="BY29" s="377">
        <v>629.3599999999999</v>
      </c>
      <c r="BZ29" s="377">
        <v>590.98</v>
      </c>
      <c r="CA29" s="378">
        <v>5058</v>
      </c>
      <c r="CB29" s="378">
        <f t="shared" si="1"/>
        <v>3148</v>
      </c>
      <c r="CC29" s="379" t="str">
        <f t="shared" si="24"/>
        <v>0</v>
      </c>
      <c r="CD29" s="380">
        <f t="shared" si="3"/>
        <v>0</v>
      </c>
      <c r="CE29" s="379">
        <f t="shared" si="4"/>
        <v>1</v>
      </c>
      <c r="CF29" s="380">
        <f t="shared" si="5"/>
        <v>3972</v>
      </c>
      <c r="CG29" s="380">
        <f t="shared" si="13"/>
        <v>1</v>
      </c>
      <c r="CH29" s="380">
        <f t="shared" si="14"/>
        <v>3972</v>
      </c>
      <c r="CI29" s="356">
        <v>45</v>
      </c>
      <c r="CJ29" s="382" t="str">
        <f t="shared" si="15"/>
        <v>0</v>
      </c>
      <c r="CK29" s="382" t="str">
        <f t="shared" si="16"/>
        <v>0</v>
      </c>
      <c r="CL29" s="383">
        <f t="shared" si="17"/>
        <v>2.6003577937168747</v>
      </c>
      <c r="CM29" s="382" t="str">
        <f t="shared" si="18"/>
        <v>0</v>
      </c>
      <c r="CN29" s="382" t="str">
        <f t="shared" si="19"/>
        <v>0</v>
      </c>
      <c r="CO29" s="383">
        <f t="shared" si="20"/>
        <v>8.4519817644885364</v>
      </c>
      <c r="CP29" s="185">
        <v>1</v>
      </c>
      <c r="CQ29" s="185">
        <v>0</v>
      </c>
      <c r="CR29" s="185">
        <v>0</v>
      </c>
      <c r="CS29" s="185">
        <v>0</v>
      </c>
      <c r="CT29" s="185">
        <v>2</v>
      </c>
      <c r="CU29" s="185">
        <v>0</v>
      </c>
      <c r="CV29" s="185">
        <v>0</v>
      </c>
      <c r="CW29" s="185">
        <v>0</v>
      </c>
      <c r="CX29" s="185">
        <v>0</v>
      </c>
      <c r="CY29" s="188">
        <v>72</v>
      </c>
      <c r="CZ29" s="387">
        <v>70</v>
      </c>
      <c r="DA29" s="188">
        <v>2</v>
      </c>
      <c r="DB29" s="185">
        <v>66</v>
      </c>
      <c r="DC29" s="185">
        <v>27</v>
      </c>
      <c r="DD29" s="189">
        <v>117</v>
      </c>
      <c r="DE29" s="185">
        <v>37</v>
      </c>
      <c r="DF29" s="185">
        <v>27</v>
      </c>
      <c r="DG29" s="189">
        <v>117</v>
      </c>
      <c r="DH29" s="185">
        <v>54</v>
      </c>
      <c r="DI29" s="185">
        <v>2</v>
      </c>
      <c r="DJ29" s="185">
        <v>0</v>
      </c>
      <c r="DK29" s="188">
        <v>2</v>
      </c>
      <c r="DL29" s="185">
        <v>0</v>
      </c>
      <c r="DM29" s="185">
        <v>0</v>
      </c>
      <c r="DN29" s="188">
        <v>2</v>
      </c>
      <c r="DO29" s="185">
        <v>0</v>
      </c>
      <c r="DP29" s="184">
        <f t="shared" si="6"/>
        <v>72</v>
      </c>
      <c r="DQ29" s="185">
        <v>11</v>
      </c>
    </row>
    <row r="30" spans="1:122">
      <c r="A30" s="43" t="s">
        <v>96</v>
      </c>
      <c r="B30" s="361">
        <v>24</v>
      </c>
      <c r="C30" s="362" t="s">
        <v>87</v>
      </c>
      <c r="D30" s="363">
        <v>1951</v>
      </c>
      <c r="E30" s="364"/>
      <c r="F30" s="364" t="s">
        <v>29</v>
      </c>
      <c r="G30" s="365">
        <v>1</v>
      </c>
      <c r="H30" s="364">
        <v>5</v>
      </c>
      <c r="I30" s="364" t="s">
        <v>100</v>
      </c>
      <c r="J30" s="366">
        <v>50810</v>
      </c>
      <c r="K30" s="366">
        <v>2912</v>
      </c>
      <c r="L30" s="366">
        <v>3315</v>
      </c>
      <c r="M30" s="366">
        <v>0</v>
      </c>
      <c r="N30" s="366">
        <v>103</v>
      </c>
      <c r="O30" s="366">
        <v>275</v>
      </c>
      <c r="P30" s="366">
        <v>107</v>
      </c>
      <c r="Q30" s="367">
        <v>185</v>
      </c>
      <c r="R30" s="368">
        <v>7574.81</v>
      </c>
      <c r="S30" s="369">
        <v>4428.92</v>
      </c>
      <c r="T30" s="367">
        <f t="shared" si="7"/>
        <v>92</v>
      </c>
      <c r="U30" s="371">
        <f t="shared" si="8"/>
        <v>6686.72</v>
      </c>
      <c r="V30" s="371">
        <f t="shared" si="9"/>
        <v>3896.6</v>
      </c>
      <c r="W30" s="372">
        <v>11</v>
      </c>
      <c r="X30" s="373">
        <v>888.09</v>
      </c>
      <c r="Y30" s="373">
        <v>532.32000000000005</v>
      </c>
      <c r="Z30" s="374"/>
      <c r="AA30" s="374"/>
      <c r="AB30" s="374"/>
      <c r="AC30" s="373">
        <f t="shared" si="10"/>
        <v>1909.1</v>
      </c>
      <c r="AD30" s="368">
        <f t="shared" si="11"/>
        <v>0</v>
      </c>
      <c r="AE30" s="375"/>
      <c r="AF30" s="368">
        <f>1677.8-1.8-1676</f>
        <v>0</v>
      </c>
      <c r="AG30" s="375">
        <f>231.3+1.8+1676</f>
        <v>1909.1</v>
      </c>
      <c r="AH30" s="376"/>
      <c r="AI30" s="375">
        <f t="shared" si="21"/>
        <v>9483.91</v>
      </c>
      <c r="AJ30" s="366"/>
      <c r="AK30" s="366"/>
      <c r="AL30" s="366">
        <v>6</v>
      </c>
      <c r="AM30" s="366"/>
      <c r="AN30" s="366"/>
      <c r="AO30" s="366">
        <v>2</v>
      </c>
      <c r="AP30" s="366">
        <v>6210</v>
      </c>
      <c r="AQ30" s="366">
        <v>1376</v>
      </c>
      <c r="AR30" s="366">
        <v>740</v>
      </c>
      <c r="AS30" s="366">
        <v>704</v>
      </c>
      <c r="AT30" s="366">
        <v>180</v>
      </c>
      <c r="AU30" s="366">
        <f t="shared" si="22"/>
        <v>5958</v>
      </c>
      <c r="AV30" s="366"/>
      <c r="AW30" s="366">
        <v>5958</v>
      </c>
      <c r="AX30" s="366"/>
      <c r="AY30" s="366">
        <v>189</v>
      </c>
      <c r="AZ30" s="366">
        <v>2732</v>
      </c>
      <c r="BA30" s="366">
        <v>2732</v>
      </c>
      <c r="BB30" s="366">
        <v>30</v>
      </c>
      <c r="BC30" s="366">
        <v>12</v>
      </c>
      <c r="BD30" s="366">
        <v>381</v>
      </c>
      <c r="BE30" s="366">
        <v>999</v>
      </c>
      <c r="BF30" s="366"/>
      <c r="BG30" s="366">
        <v>7781</v>
      </c>
      <c r="BH30" s="366">
        <v>228</v>
      </c>
      <c r="BI30" s="366"/>
      <c r="BJ30" s="366">
        <f t="shared" si="26"/>
        <v>1</v>
      </c>
      <c r="BK30" s="366">
        <f t="shared" si="27"/>
        <v>7574.81</v>
      </c>
      <c r="BL30" s="366">
        <f t="shared" si="27"/>
        <v>4428.92</v>
      </c>
      <c r="BM30" s="366"/>
      <c r="BN30" s="366"/>
      <c r="BO30" s="366"/>
      <c r="BP30" s="366"/>
      <c r="BQ30" s="366"/>
      <c r="BR30" s="366"/>
      <c r="BS30" s="366"/>
      <c r="BT30" s="366">
        <v>4</v>
      </c>
      <c r="BU30" s="366">
        <f t="shared" si="28"/>
        <v>2732</v>
      </c>
      <c r="BV30" s="366">
        <v>7554</v>
      </c>
      <c r="BW30" s="366"/>
      <c r="BX30" s="366">
        <f t="shared" si="29"/>
        <v>6210</v>
      </c>
      <c r="BY30" s="377">
        <v>864.5</v>
      </c>
      <c r="BZ30" s="377">
        <v>864.5</v>
      </c>
      <c r="CA30" s="378">
        <v>6788</v>
      </c>
      <c r="CB30" s="378">
        <f t="shared" si="1"/>
        <v>3876</v>
      </c>
      <c r="CC30" s="379" t="str">
        <f t="shared" si="24"/>
        <v>0</v>
      </c>
      <c r="CD30" s="380">
        <f t="shared" si="3"/>
        <v>0</v>
      </c>
      <c r="CE30" s="379">
        <f t="shared" si="4"/>
        <v>1</v>
      </c>
      <c r="CF30" s="380">
        <f t="shared" si="5"/>
        <v>5958</v>
      </c>
      <c r="CG30" s="380">
        <f t="shared" si="13"/>
        <v>1</v>
      </c>
      <c r="CH30" s="380">
        <f t="shared" si="14"/>
        <v>5958</v>
      </c>
      <c r="CI30" s="356">
        <v>36</v>
      </c>
      <c r="CJ30" s="382" t="str">
        <f t="shared" si="15"/>
        <v>0</v>
      </c>
      <c r="CK30" s="382" t="str">
        <f t="shared" si="16"/>
        <v>0</v>
      </c>
      <c r="CL30" s="383">
        <f t="shared" si="17"/>
        <v>11.724254469749077</v>
      </c>
      <c r="CM30" s="382" t="str">
        <f t="shared" si="18"/>
        <v>0</v>
      </c>
      <c r="CN30" s="382" t="str">
        <f t="shared" si="19"/>
        <v>0</v>
      </c>
      <c r="CO30" s="383">
        <f t="shared" si="20"/>
        <v>9.3641757460794128</v>
      </c>
      <c r="CP30" s="185">
        <v>1</v>
      </c>
      <c r="CQ30" s="185">
        <v>0</v>
      </c>
      <c r="CR30" s="185">
        <v>0</v>
      </c>
      <c r="CS30" s="185">
        <v>0</v>
      </c>
      <c r="CT30" s="185">
        <v>2</v>
      </c>
      <c r="CU30" s="185">
        <v>0</v>
      </c>
      <c r="CV30" s="185">
        <v>0</v>
      </c>
      <c r="CW30" s="185">
        <v>0</v>
      </c>
      <c r="CX30" s="185">
        <v>0</v>
      </c>
      <c r="CY30" s="188">
        <v>103</v>
      </c>
      <c r="CZ30" s="387">
        <v>95</v>
      </c>
      <c r="DA30" s="188">
        <v>8</v>
      </c>
      <c r="DB30" s="185">
        <v>83</v>
      </c>
      <c r="DC30" s="185">
        <v>29</v>
      </c>
      <c r="DD30" s="189">
        <v>156</v>
      </c>
      <c r="DE30" s="185">
        <v>37</v>
      </c>
      <c r="DF30" s="185">
        <v>29</v>
      </c>
      <c r="DG30" s="189">
        <v>156</v>
      </c>
      <c r="DH30" s="185">
        <v>41</v>
      </c>
      <c r="DI30" s="185">
        <v>7</v>
      </c>
      <c r="DJ30" s="185">
        <v>1</v>
      </c>
      <c r="DK30" s="188">
        <v>9</v>
      </c>
      <c r="DL30" s="185">
        <v>2</v>
      </c>
      <c r="DM30" s="185">
        <v>1</v>
      </c>
      <c r="DN30" s="188">
        <v>9</v>
      </c>
      <c r="DO30" s="185">
        <v>22</v>
      </c>
      <c r="DP30" s="184">
        <f t="shared" si="6"/>
        <v>103</v>
      </c>
      <c r="DQ30" s="185">
        <v>20</v>
      </c>
    </row>
    <row r="31" spans="1:122">
      <c r="A31" s="43" t="s">
        <v>96</v>
      </c>
      <c r="B31" s="361">
        <v>25</v>
      </c>
      <c r="C31" s="362" t="s">
        <v>88</v>
      </c>
      <c r="D31" s="363">
        <v>1954</v>
      </c>
      <c r="E31" s="364"/>
      <c r="F31" s="364" t="s">
        <v>29</v>
      </c>
      <c r="G31" s="365">
        <v>1</v>
      </c>
      <c r="H31" s="364">
        <v>5</v>
      </c>
      <c r="I31" s="364" t="s">
        <v>100</v>
      </c>
      <c r="J31" s="366">
        <v>51607</v>
      </c>
      <c r="K31" s="366">
        <v>2662</v>
      </c>
      <c r="L31" s="366">
        <v>3290</v>
      </c>
      <c r="M31" s="366">
        <v>0</v>
      </c>
      <c r="N31" s="366">
        <v>110</v>
      </c>
      <c r="O31" s="366">
        <v>243</v>
      </c>
      <c r="P31" s="366">
        <v>119</v>
      </c>
      <c r="Q31" s="367">
        <v>187</v>
      </c>
      <c r="R31" s="368">
        <v>7620.43</v>
      </c>
      <c r="S31" s="369">
        <v>4189.5</v>
      </c>
      <c r="T31" s="367">
        <f t="shared" si="7"/>
        <v>100</v>
      </c>
      <c r="U31" s="371">
        <f t="shared" si="8"/>
        <v>7002.2300000000005</v>
      </c>
      <c r="V31" s="371">
        <f t="shared" si="9"/>
        <v>3858.4</v>
      </c>
      <c r="W31" s="372">
        <v>10</v>
      </c>
      <c r="X31" s="373">
        <v>618.20000000000005</v>
      </c>
      <c r="Y31" s="373">
        <v>331.1</v>
      </c>
      <c r="Z31" s="374"/>
      <c r="AA31" s="374"/>
      <c r="AB31" s="374"/>
      <c r="AC31" s="373">
        <f t="shared" si="10"/>
        <v>2355.6000000000004</v>
      </c>
      <c r="AD31" s="375">
        <f t="shared" si="11"/>
        <v>1507.4</v>
      </c>
      <c r="AE31" s="375"/>
      <c r="AF31" s="375">
        <f>2116-226.1-382.5</f>
        <v>1507.4</v>
      </c>
      <c r="AG31" s="375">
        <f>239.6+226.1+382.5</f>
        <v>848.2</v>
      </c>
      <c r="AH31" s="376"/>
      <c r="AI31" s="375">
        <f t="shared" si="21"/>
        <v>9976.0300000000007</v>
      </c>
      <c r="AJ31" s="366"/>
      <c r="AK31" s="366"/>
      <c r="AL31" s="366">
        <v>6</v>
      </c>
      <c r="AM31" s="366"/>
      <c r="AN31" s="366"/>
      <c r="AO31" s="366">
        <v>2</v>
      </c>
      <c r="AP31" s="366">
        <v>6227</v>
      </c>
      <c r="AQ31" s="366">
        <v>1376</v>
      </c>
      <c r="AR31" s="366">
        <v>806</v>
      </c>
      <c r="AS31" s="366">
        <v>542</v>
      </c>
      <c r="AT31" s="366">
        <v>180</v>
      </c>
      <c r="AU31" s="366">
        <f t="shared" si="22"/>
        <v>5958</v>
      </c>
      <c r="AV31" s="366"/>
      <c r="AW31" s="366">
        <v>5958</v>
      </c>
      <c r="AX31" s="366"/>
      <c r="AY31" s="366">
        <v>199</v>
      </c>
      <c r="AZ31" s="366">
        <v>2197</v>
      </c>
      <c r="BA31" s="366">
        <v>2197</v>
      </c>
      <c r="BB31" s="366">
        <v>30</v>
      </c>
      <c r="BC31" s="366">
        <v>12</v>
      </c>
      <c r="BD31" s="366">
        <v>380</v>
      </c>
      <c r="BE31" s="366">
        <v>1106</v>
      </c>
      <c r="BF31" s="366"/>
      <c r="BG31" s="366">
        <v>7765</v>
      </c>
      <c r="BH31" s="366">
        <v>228</v>
      </c>
      <c r="BI31" s="366"/>
      <c r="BJ31" s="366">
        <f t="shared" si="26"/>
        <v>1</v>
      </c>
      <c r="BK31" s="366">
        <f t="shared" si="27"/>
        <v>7620.43</v>
      </c>
      <c r="BL31" s="366">
        <f t="shared" si="27"/>
        <v>4189.5</v>
      </c>
      <c r="BM31" s="366"/>
      <c r="BN31" s="366"/>
      <c r="BO31" s="366"/>
      <c r="BP31" s="366"/>
      <c r="BQ31" s="366"/>
      <c r="BR31" s="366"/>
      <c r="BS31" s="366"/>
      <c r="BT31" s="366">
        <v>5</v>
      </c>
      <c r="BU31" s="366">
        <f t="shared" si="28"/>
        <v>2197</v>
      </c>
      <c r="BV31" s="366">
        <v>7380</v>
      </c>
      <c r="BW31" s="366"/>
      <c r="BX31" s="366">
        <f t="shared" si="29"/>
        <v>6227</v>
      </c>
      <c r="BY31" s="377">
        <v>1051.3699999999999</v>
      </c>
      <c r="BZ31" s="377">
        <v>983.1</v>
      </c>
      <c r="CA31" s="378">
        <v>6582</v>
      </c>
      <c r="CB31" s="378">
        <f t="shared" si="1"/>
        <v>3920</v>
      </c>
      <c r="CC31" s="379" t="str">
        <f t="shared" si="24"/>
        <v>0</v>
      </c>
      <c r="CD31" s="380">
        <f t="shared" si="3"/>
        <v>0</v>
      </c>
      <c r="CE31" s="379">
        <f t="shared" si="4"/>
        <v>1</v>
      </c>
      <c r="CF31" s="380">
        <f t="shared" si="5"/>
        <v>5958</v>
      </c>
      <c r="CG31" s="380">
        <f t="shared" si="13"/>
        <v>1</v>
      </c>
      <c r="CH31" s="380">
        <f t="shared" si="14"/>
        <v>5958</v>
      </c>
      <c r="CI31" s="356">
        <v>56</v>
      </c>
      <c r="CJ31" s="382" t="str">
        <f t="shared" si="15"/>
        <v>0</v>
      </c>
      <c r="CK31" s="382" t="str">
        <f t="shared" si="16"/>
        <v>0</v>
      </c>
      <c r="CL31" s="383">
        <f t="shared" si="17"/>
        <v>8.1124031058614801</v>
      </c>
      <c r="CM31" s="382" t="str">
        <f t="shared" si="18"/>
        <v>0</v>
      </c>
      <c r="CN31" s="382" t="str">
        <f t="shared" si="19"/>
        <v>0</v>
      </c>
      <c r="CO31" s="383">
        <f t="shared" si="20"/>
        <v>21.307073054110706</v>
      </c>
      <c r="CP31" s="185">
        <v>1</v>
      </c>
      <c r="CQ31" s="185">
        <v>0</v>
      </c>
      <c r="CR31" s="185">
        <v>0</v>
      </c>
      <c r="CS31" s="185">
        <v>0</v>
      </c>
      <c r="CT31" s="185">
        <v>2</v>
      </c>
      <c r="CU31" s="185">
        <v>0</v>
      </c>
      <c r="CV31" s="185">
        <v>0</v>
      </c>
      <c r="CW31" s="185">
        <v>0</v>
      </c>
      <c r="CX31" s="185">
        <v>0</v>
      </c>
      <c r="CY31" s="188">
        <v>110</v>
      </c>
      <c r="CZ31" s="387">
        <v>101</v>
      </c>
      <c r="DA31" s="188">
        <v>9</v>
      </c>
      <c r="DB31" s="185">
        <v>98</v>
      </c>
      <c r="DC31" s="185">
        <v>33</v>
      </c>
      <c r="DD31" s="189">
        <v>151</v>
      </c>
      <c r="DE31" s="185">
        <v>37</v>
      </c>
      <c r="DF31" s="185">
        <v>33</v>
      </c>
      <c r="DG31" s="189">
        <v>151</v>
      </c>
      <c r="DH31" s="185">
        <v>43</v>
      </c>
      <c r="DI31" s="185">
        <v>7</v>
      </c>
      <c r="DJ31" s="185">
        <v>1</v>
      </c>
      <c r="DK31" s="188">
        <v>3</v>
      </c>
      <c r="DL31" s="185">
        <v>1</v>
      </c>
      <c r="DM31" s="185">
        <v>1</v>
      </c>
      <c r="DN31" s="188">
        <v>3</v>
      </c>
      <c r="DO31" s="185">
        <v>1</v>
      </c>
      <c r="DP31" s="184">
        <f t="shared" si="6"/>
        <v>110</v>
      </c>
      <c r="DQ31" s="185">
        <v>32</v>
      </c>
    </row>
    <row r="32" spans="1:122">
      <c r="A32" s="43" t="s">
        <v>96</v>
      </c>
      <c r="B32" s="361">
        <v>26</v>
      </c>
      <c r="C32" s="362" t="s">
        <v>89</v>
      </c>
      <c r="D32" s="363">
        <v>1956</v>
      </c>
      <c r="E32" s="364"/>
      <c r="F32" s="364" t="s">
        <v>29</v>
      </c>
      <c r="G32" s="365">
        <v>1</v>
      </c>
      <c r="H32" s="364">
        <v>6</v>
      </c>
      <c r="I32" s="364" t="s">
        <v>100</v>
      </c>
      <c r="J32" s="366">
        <v>56561</v>
      </c>
      <c r="K32" s="366">
        <v>3054</v>
      </c>
      <c r="L32" s="366">
        <v>3665</v>
      </c>
      <c r="M32" s="366"/>
      <c r="N32" s="366">
        <v>129</v>
      </c>
      <c r="O32" s="366">
        <v>325</v>
      </c>
      <c r="P32" s="366">
        <v>136</v>
      </c>
      <c r="Q32" s="367">
        <v>288</v>
      </c>
      <c r="R32" s="368">
        <v>9326.7000000000007</v>
      </c>
      <c r="S32" s="369">
        <v>5589.9</v>
      </c>
      <c r="T32" s="367">
        <f t="shared" si="7"/>
        <v>120</v>
      </c>
      <c r="U32" s="371">
        <f t="shared" si="8"/>
        <v>8697.1</v>
      </c>
      <c r="V32" s="371">
        <f t="shared" si="9"/>
        <v>5221</v>
      </c>
      <c r="W32" s="372">
        <v>9</v>
      </c>
      <c r="X32" s="373">
        <v>629.6</v>
      </c>
      <c r="Y32" s="373">
        <v>368.9</v>
      </c>
      <c r="Z32" s="374"/>
      <c r="AA32" s="374"/>
      <c r="AB32" s="374"/>
      <c r="AC32" s="373">
        <f t="shared" si="10"/>
        <v>1904.6399999999999</v>
      </c>
      <c r="AD32" s="368">
        <f t="shared" si="11"/>
        <v>1786.04</v>
      </c>
      <c r="AE32" s="375"/>
      <c r="AF32" s="368">
        <v>1786.04</v>
      </c>
      <c r="AG32" s="375">
        <v>118.6</v>
      </c>
      <c r="AH32" s="376"/>
      <c r="AI32" s="375">
        <f t="shared" si="21"/>
        <v>11231.34</v>
      </c>
      <c r="AJ32" s="366"/>
      <c r="AK32" s="366"/>
      <c r="AL32" s="366">
        <v>8</v>
      </c>
      <c r="AM32" s="366"/>
      <c r="AN32" s="366"/>
      <c r="AO32" s="366">
        <v>2</v>
      </c>
      <c r="AP32" s="366">
        <v>9217</v>
      </c>
      <c r="AQ32" s="366">
        <v>1500</v>
      </c>
      <c r="AR32" s="366">
        <v>520</v>
      </c>
      <c r="AS32" s="366">
        <v>534</v>
      </c>
      <c r="AT32" s="366">
        <v>240</v>
      </c>
      <c r="AU32" s="366">
        <f t="shared" si="22"/>
        <v>9120</v>
      </c>
      <c r="AV32" s="366"/>
      <c r="AW32" s="366">
        <v>9120</v>
      </c>
      <c r="AX32" s="366"/>
      <c r="AY32" s="366">
        <v>205</v>
      </c>
      <c r="AZ32" s="366">
        <v>3029</v>
      </c>
      <c r="BA32" s="366">
        <v>3029</v>
      </c>
      <c r="BB32" s="366">
        <v>40</v>
      </c>
      <c r="BC32" s="366">
        <v>16</v>
      </c>
      <c r="BD32" s="366">
        <v>210</v>
      </c>
      <c r="BE32" s="366">
        <v>1262</v>
      </c>
      <c r="BF32" s="366"/>
      <c r="BG32" s="366">
        <v>9291</v>
      </c>
      <c r="BH32" s="366">
        <v>304</v>
      </c>
      <c r="BI32" s="366"/>
      <c r="BJ32" s="366">
        <f t="shared" si="26"/>
        <v>1</v>
      </c>
      <c r="BK32" s="366">
        <f t="shared" si="27"/>
        <v>9326.7000000000007</v>
      </c>
      <c r="BL32" s="366">
        <f t="shared" si="27"/>
        <v>5589.9</v>
      </c>
      <c r="BM32" s="366"/>
      <c r="BN32" s="366"/>
      <c r="BO32" s="366"/>
      <c r="BP32" s="366"/>
      <c r="BQ32" s="366"/>
      <c r="BR32" s="366"/>
      <c r="BS32" s="366"/>
      <c r="BT32" s="366">
        <v>5</v>
      </c>
      <c r="BU32" s="366">
        <f t="shared" si="28"/>
        <v>3029</v>
      </c>
      <c r="BV32" s="366">
        <v>9582</v>
      </c>
      <c r="BW32" s="366"/>
      <c r="BX32" s="366">
        <f t="shared" si="29"/>
        <v>9217</v>
      </c>
      <c r="BY32" s="377">
        <v>1108.5</v>
      </c>
      <c r="BZ32" s="377">
        <v>1061</v>
      </c>
      <c r="CA32" s="378">
        <v>7807</v>
      </c>
      <c r="CB32" s="378">
        <f t="shared" si="1"/>
        <v>4753</v>
      </c>
      <c r="CC32" s="379" t="str">
        <f t="shared" si="24"/>
        <v>0</v>
      </c>
      <c r="CD32" s="380">
        <f t="shared" si="3"/>
        <v>0</v>
      </c>
      <c r="CE32" s="379">
        <f t="shared" si="4"/>
        <v>1</v>
      </c>
      <c r="CF32" s="380">
        <f t="shared" si="5"/>
        <v>9120</v>
      </c>
      <c r="CG32" s="380">
        <f t="shared" si="13"/>
        <v>1</v>
      </c>
      <c r="CH32" s="380">
        <f t="shared" si="14"/>
        <v>9120</v>
      </c>
      <c r="CI32" s="356">
        <v>52</v>
      </c>
      <c r="CJ32" s="382" t="str">
        <f t="shared" si="15"/>
        <v>0</v>
      </c>
      <c r="CK32" s="382" t="str">
        <f t="shared" si="16"/>
        <v>0</v>
      </c>
      <c r="CL32" s="383">
        <f t="shared" si="17"/>
        <v>6.7505119710079668</v>
      </c>
      <c r="CM32" s="382" t="str">
        <f t="shared" si="18"/>
        <v>0</v>
      </c>
      <c r="CN32" s="382" t="str">
        <f t="shared" si="19"/>
        <v>0</v>
      </c>
      <c r="CO32" s="383">
        <f t="shared" si="20"/>
        <v>21.508030208327767</v>
      </c>
      <c r="CP32" s="185">
        <v>1</v>
      </c>
      <c r="CQ32" s="185">
        <v>0</v>
      </c>
      <c r="CR32" s="185">
        <v>0</v>
      </c>
      <c r="CS32" s="185">
        <v>0</v>
      </c>
      <c r="CT32" s="185">
        <v>4</v>
      </c>
      <c r="CU32" s="185">
        <v>0</v>
      </c>
      <c r="CV32" s="185">
        <v>0</v>
      </c>
      <c r="CW32" s="185">
        <v>0</v>
      </c>
      <c r="CX32" s="185">
        <v>0</v>
      </c>
      <c r="CY32" s="188">
        <v>129</v>
      </c>
      <c r="CZ32" s="387">
        <v>123</v>
      </c>
      <c r="DA32" s="188">
        <v>6</v>
      </c>
      <c r="DB32" s="185">
        <v>114</v>
      </c>
      <c r="DC32" s="185">
        <v>46</v>
      </c>
      <c r="DD32" s="189">
        <v>180</v>
      </c>
      <c r="DE32" s="185">
        <v>47</v>
      </c>
      <c r="DF32" s="185">
        <v>46</v>
      </c>
      <c r="DG32" s="189">
        <v>180</v>
      </c>
      <c r="DH32" s="185">
        <v>47</v>
      </c>
      <c r="DI32" s="185">
        <v>5</v>
      </c>
      <c r="DJ32" s="185">
        <v>4</v>
      </c>
      <c r="DK32" s="188">
        <v>9</v>
      </c>
      <c r="DL32" s="185">
        <v>4</v>
      </c>
      <c r="DM32" s="185">
        <v>4</v>
      </c>
      <c r="DN32" s="188">
        <v>9</v>
      </c>
      <c r="DO32" s="185">
        <v>4</v>
      </c>
      <c r="DP32" s="184">
        <f t="shared" si="6"/>
        <v>129</v>
      </c>
      <c r="DQ32" s="185">
        <v>40</v>
      </c>
    </row>
    <row r="33" spans="1:122">
      <c r="A33" s="43" t="s">
        <v>96</v>
      </c>
      <c r="B33" s="361">
        <v>27</v>
      </c>
      <c r="C33" s="362" t="s">
        <v>90</v>
      </c>
      <c r="D33" s="363">
        <v>1957</v>
      </c>
      <c r="E33" s="364"/>
      <c r="F33" s="364" t="s">
        <v>29</v>
      </c>
      <c r="G33" s="365">
        <v>1</v>
      </c>
      <c r="H33" s="364">
        <v>5</v>
      </c>
      <c r="I33" s="364" t="s">
        <v>100</v>
      </c>
      <c r="J33" s="366">
        <v>69591</v>
      </c>
      <c r="K33" s="366">
        <v>4092</v>
      </c>
      <c r="L33" s="366">
        <v>4789</v>
      </c>
      <c r="M33" s="366"/>
      <c r="N33" s="366">
        <v>180</v>
      </c>
      <c r="O33" s="366">
        <v>435</v>
      </c>
      <c r="P33" s="366">
        <v>193</v>
      </c>
      <c r="Q33" s="367">
        <v>313</v>
      </c>
      <c r="R33" s="368">
        <v>12314.66</v>
      </c>
      <c r="S33" s="369">
        <v>7267.87</v>
      </c>
      <c r="T33" s="367">
        <f t="shared" si="7"/>
        <v>167</v>
      </c>
      <c r="U33" s="371">
        <f t="shared" si="8"/>
        <v>11402.36</v>
      </c>
      <c r="V33" s="371">
        <f t="shared" si="9"/>
        <v>6734.37</v>
      </c>
      <c r="W33" s="372">
        <v>13</v>
      </c>
      <c r="X33" s="373">
        <v>912.3</v>
      </c>
      <c r="Y33" s="373">
        <v>533.5</v>
      </c>
      <c r="Z33" s="374"/>
      <c r="AA33" s="374"/>
      <c r="AB33" s="374"/>
      <c r="AC33" s="373">
        <f t="shared" si="10"/>
        <v>2092.1</v>
      </c>
      <c r="AD33" s="368">
        <f t="shared" si="11"/>
        <v>62.599999999999966</v>
      </c>
      <c r="AE33" s="375"/>
      <c r="AF33" s="368">
        <f>188.5+99.4-225.3</f>
        <v>62.599999999999966</v>
      </c>
      <c r="AG33" s="375">
        <f>1903.6-99.4+225.3</f>
        <v>2029.4999999999998</v>
      </c>
      <c r="AH33" s="376"/>
      <c r="AI33" s="375">
        <f t="shared" si="21"/>
        <v>14406.76</v>
      </c>
      <c r="AJ33" s="366"/>
      <c r="AK33" s="366"/>
      <c r="AL33" s="366">
        <v>11</v>
      </c>
      <c r="AM33" s="366"/>
      <c r="AN33" s="366"/>
      <c r="AO33" s="366">
        <v>2</v>
      </c>
      <c r="AP33" s="366">
        <v>9236</v>
      </c>
      <c r="AQ33" s="366">
        <v>1500</v>
      </c>
      <c r="AR33" s="366">
        <v>607</v>
      </c>
      <c r="AS33" s="366">
        <v>535</v>
      </c>
      <c r="AT33" s="366">
        <v>330</v>
      </c>
      <c r="AU33" s="366">
        <f t="shared" si="22"/>
        <v>10826</v>
      </c>
      <c r="AV33" s="366"/>
      <c r="AW33" s="366">
        <f>10923-30-30-37</f>
        <v>10826</v>
      </c>
      <c r="AX33" s="366"/>
      <c r="AY33" s="366">
        <v>263</v>
      </c>
      <c r="AZ33" s="366">
        <v>3990</v>
      </c>
      <c r="BA33" s="366">
        <v>3990</v>
      </c>
      <c r="BB33" s="366">
        <v>55</v>
      </c>
      <c r="BC33" s="366">
        <v>22</v>
      </c>
      <c r="BD33" s="366">
        <f>647-3-3-4</f>
        <v>637</v>
      </c>
      <c r="BE33" s="366">
        <f>1793-3</f>
        <v>1790</v>
      </c>
      <c r="BF33" s="366"/>
      <c r="BG33" s="366">
        <f>12452-120-120-150</f>
        <v>12062</v>
      </c>
      <c r="BH33" s="366">
        <v>418</v>
      </c>
      <c r="BI33" s="366"/>
      <c r="BJ33" s="366">
        <f t="shared" si="26"/>
        <v>1</v>
      </c>
      <c r="BK33" s="366">
        <f t="shared" si="27"/>
        <v>12314.66</v>
      </c>
      <c r="BL33" s="366">
        <f t="shared" si="27"/>
        <v>7267.87</v>
      </c>
      <c r="BM33" s="366"/>
      <c r="BN33" s="366"/>
      <c r="BO33" s="366"/>
      <c r="BP33" s="366"/>
      <c r="BQ33" s="366"/>
      <c r="BR33" s="366"/>
      <c r="BS33" s="366"/>
      <c r="BT33" s="366">
        <v>7</v>
      </c>
      <c r="BU33" s="366">
        <f t="shared" si="28"/>
        <v>3990</v>
      </c>
      <c r="BV33" s="366">
        <v>10510</v>
      </c>
      <c r="BW33" s="366"/>
      <c r="BX33" s="366">
        <f t="shared" si="29"/>
        <v>9236</v>
      </c>
      <c r="BY33" s="377">
        <v>1350.5000000000002</v>
      </c>
      <c r="BZ33" s="377">
        <v>1317.5</v>
      </c>
      <c r="CA33" s="378">
        <v>10875</v>
      </c>
      <c r="CB33" s="378">
        <f t="shared" si="1"/>
        <v>6783</v>
      </c>
      <c r="CC33" s="379" t="str">
        <f t="shared" si="24"/>
        <v>0</v>
      </c>
      <c r="CD33" s="380">
        <f t="shared" si="3"/>
        <v>0</v>
      </c>
      <c r="CE33" s="379">
        <f t="shared" si="4"/>
        <v>1</v>
      </c>
      <c r="CF33" s="380">
        <f t="shared" si="5"/>
        <v>10826</v>
      </c>
      <c r="CG33" s="380">
        <f t="shared" si="13"/>
        <v>1</v>
      </c>
      <c r="CH33" s="380">
        <f t="shared" si="14"/>
        <v>10826</v>
      </c>
      <c r="CI33" s="356">
        <v>54</v>
      </c>
      <c r="CJ33" s="382" t="str">
        <f t="shared" si="15"/>
        <v>0</v>
      </c>
      <c r="CK33" s="382" t="str">
        <f t="shared" si="16"/>
        <v>0</v>
      </c>
      <c r="CL33" s="383">
        <f t="shared" si="17"/>
        <v>7.4082435081439524</v>
      </c>
      <c r="CM33" s="382" t="str">
        <f t="shared" si="18"/>
        <v>0</v>
      </c>
      <c r="CN33" s="382" t="str">
        <f t="shared" si="19"/>
        <v>0</v>
      </c>
      <c r="CO33" s="383">
        <f t="shared" si="20"/>
        <v>6.7669621760895566</v>
      </c>
      <c r="CP33" s="185">
        <v>1</v>
      </c>
      <c r="CQ33" s="185">
        <v>0</v>
      </c>
      <c r="CR33" s="185">
        <v>0</v>
      </c>
      <c r="CS33" s="185">
        <v>0</v>
      </c>
      <c r="CT33" s="185">
        <v>5</v>
      </c>
      <c r="CU33" s="185">
        <v>0</v>
      </c>
      <c r="CV33" s="185">
        <v>0</v>
      </c>
      <c r="CW33" s="185">
        <v>0</v>
      </c>
      <c r="CX33" s="185">
        <v>0</v>
      </c>
      <c r="CY33" s="188">
        <v>180</v>
      </c>
      <c r="CZ33" s="387">
        <v>165</v>
      </c>
      <c r="DA33" s="188">
        <v>15</v>
      </c>
      <c r="DB33" s="185">
        <v>150</v>
      </c>
      <c r="DC33" s="185">
        <v>54</v>
      </c>
      <c r="DD33" s="189">
        <v>241</v>
      </c>
      <c r="DE33" s="185">
        <v>61</v>
      </c>
      <c r="DF33" s="185">
        <v>54</v>
      </c>
      <c r="DG33" s="189">
        <v>241</v>
      </c>
      <c r="DH33" s="185">
        <v>64</v>
      </c>
      <c r="DI33" s="185">
        <v>14</v>
      </c>
      <c r="DJ33" s="185">
        <v>4</v>
      </c>
      <c r="DK33" s="188">
        <v>10</v>
      </c>
      <c r="DL33" s="185">
        <v>4</v>
      </c>
      <c r="DM33" s="185">
        <v>4</v>
      </c>
      <c r="DN33" s="188">
        <v>10</v>
      </c>
      <c r="DO33" s="185">
        <v>4</v>
      </c>
      <c r="DP33" s="184">
        <f t="shared" si="6"/>
        <v>180</v>
      </c>
      <c r="DQ33" s="185">
        <v>28</v>
      </c>
    </row>
    <row r="34" spans="1:122">
      <c r="A34" s="43" t="s">
        <v>96</v>
      </c>
      <c r="B34" s="361">
        <v>28</v>
      </c>
      <c r="C34" s="362" t="s">
        <v>91</v>
      </c>
      <c r="D34" s="363">
        <v>1956</v>
      </c>
      <c r="E34" s="364"/>
      <c r="F34" s="364" t="s">
        <v>29</v>
      </c>
      <c r="G34" s="365">
        <v>1</v>
      </c>
      <c r="H34" s="364">
        <v>5</v>
      </c>
      <c r="I34" s="364" t="s">
        <v>100</v>
      </c>
      <c r="J34" s="366">
        <v>12150</v>
      </c>
      <c r="K34" s="366">
        <v>748</v>
      </c>
      <c r="L34" s="366">
        <v>900</v>
      </c>
      <c r="M34" s="366"/>
      <c r="N34" s="366">
        <v>32</v>
      </c>
      <c r="O34" s="366">
        <v>80</v>
      </c>
      <c r="P34" s="366">
        <v>34</v>
      </c>
      <c r="Q34" s="367">
        <v>69</v>
      </c>
      <c r="R34" s="368">
        <v>2096</v>
      </c>
      <c r="S34" s="369">
        <v>1283.3</v>
      </c>
      <c r="T34" s="367">
        <f t="shared" si="7"/>
        <v>31</v>
      </c>
      <c r="U34" s="371">
        <f t="shared" si="8"/>
        <v>2021</v>
      </c>
      <c r="V34" s="371">
        <f t="shared" si="9"/>
        <v>1235.7</v>
      </c>
      <c r="W34" s="372">
        <v>1</v>
      </c>
      <c r="X34" s="373">
        <v>75</v>
      </c>
      <c r="Y34" s="373">
        <v>47.6</v>
      </c>
      <c r="Z34" s="374"/>
      <c r="AA34" s="374"/>
      <c r="AB34" s="374"/>
      <c r="AC34" s="373">
        <f t="shared" si="10"/>
        <v>530.1</v>
      </c>
      <c r="AD34" s="391">
        <f t="shared" si="11"/>
        <v>0</v>
      </c>
      <c r="AE34" s="375"/>
      <c r="AF34" s="391"/>
      <c r="AG34" s="375">
        <v>530.1</v>
      </c>
      <c r="AH34" s="376"/>
      <c r="AI34" s="375">
        <f t="shared" si="21"/>
        <v>2626.1</v>
      </c>
      <c r="AJ34" s="366"/>
      <c r="AK34" s="366"/>
      <c r="AL34" s="366">
        <v>2</v>
      </c>
      <c r="AM34" s="366"/>
      <c r="AN34" s="366"/>
      <c r="AO34" s="366">
        <v>1</v>
      </c>
      <c r="AP34" s="366">
        <v>2146</v>
      </c>
      <c r="AQ34" s="366">
        <v>585</v>
      </c>
      <c r="AR34" s="366">
        <v>192</v>
      </c>
      <c r="AS34" s="366">
        <v>125</v>
      </c>
      <c r="AT34" s="366">
        <v>60</v>
      </c>
      <c r="AU34" s="366">
        <f t="shared" si="22"/>
        <v>1986</v>
      </c>
      <c r="AV34" s="366"/>
      <c r="AW34" s="366">
        <v>1986</v>
      </c>
      <c r="AX34" s="366"/>
      <c r="AY34" s="366">
        <v>46</v>
      </c>
      <c r="AZ34" s="366">
        <v>730</v>
      </c>
      <c r="BA34" s="366">
        <v>730</v>
      </c>
      <c r="BB34" s="366">
        <v>10</v>
      </c>
      <c r="BC34" s="366">
        <v>4</v>
      </c>
      <c r="BD34" s="366">
        <v>112</v>
      </c>
      <c r="BE34" s="366">
        <v>304</v>
      </c>
      <c r="BF34" s="366"/>
      <c r="BG34" s="366">
        <v>2304</v>
      </c>
      <c r="BH34" s="366">
        <v>76</v>
      </c>
      <c r="BI34" s="366"/>
      <c r="BJ34" s="366">
        <f t="shared" si="26"/>
        <v>1</v>
      </c>
      <c r="BK34" s="366">
        <f t="shared" si="27"/>
        <v>2096</v>
      </c>
      <c r="BL34" s="366">
        <f t="shared" si="27"/>
        <v>1283.3</v>
      </c>
      <c r="BM34" s="366"/>
      <c r="BN34" s="366"/>
      <c r="BO34" s="366"/>
      <c r="BP34" s="366"/>
      <c r="BQ34" s="366"/>
      <c r="BR34" s="366"/>
      <c r="BS34" s="366"/>
      <c r="BT34" s="366">
        <v>1</v>
      </c>
      <c r="BU34" s="366">
        <f t="shared" si="28"/>
        <v>730</v>
      </c>
      <c r="BV34" s="366">
        <v>2620</v>
      </c>
      <c r="BW34" s="366"/>
      <c r="BX34" s="366">
        <f t="shared" si="29"/>
        <v>2146</v>
      </c>
      <c r="BY34" s="377">
        <v>229.19999999999996</v>
      </c>
      <c r="BZ34" s="377">
        <v>221.1</v>
      </c>
      <c r="CA34" s="378">
        <v>1769</v>
      </c>
      <c r="CB34" s="378">
        <f t="shared" si="1"/>
        <v>1021</v>
      </c>
      <c r="CC34" s="379" t="str">
        <f t="shared" si="24"/>
        <v>0</v>
      </c>
      <c r="CD34" s="380">
        <f t="shared" si="3"/>
        <v>0</v>
      </c>
      <c r="CE34" s="379">
        <f t="shared" si="4"/>
        <v>1</v>
      </c>
      <c r="CF34" s="380">
        <f t="shared" si="5"/>
        <v>1986</v>
      </c>
      <c r="CG34" s="380">
        <f t="shared" si="13"/>
        <v>1</v>
      </c>
      <c r="CH34" s="380">
        <f t="shared" si="14"/>
        <v>1986</v>
      </c>
      <c r="CI34" s="356">
        <v>54</v>
      </c>
      <c r="CJ34" s="382" t="str">
        <f t="shared" si="15"/>
        <v>0</v>
      </c>
      <c r="CK34" s="382" t="str">
        <f t="shared" si="16"/>
        <v>0</v>
      </c>
      <c r="CL34" s="383">
        <f t="shared" si="17"/>
        <v>3.5782442748091601</v>
      </c>
      <c r="CM34" s="382" t="str">
        <f t="shared" si="18"/>
        <v>0</v>
      </c>
      <c r="CN34" s="382" t="str">
        <f t="shared" si="19"/>
        <v>0</v>
      </c>
      <c r="CO34" s="383">
        <f t="shared" si="20"/>
        <v>2.8559460797380147</v>
      </c>
      <c r="CP34" s="185">
        <v>1</v>
      </c>
      <c r="CQ34" s="185">
        <v>0</v>
      </c>
      <c r="CR34" s="185">
        <v>0</v>
      </c>
      <c r="CS34" s="185">
        <v>0</v>
      </c>
      <c r="CT34" s="185">
        <v>1</v>
      </c>
      <c r="CU34" s="185">
        <v>0</v>
      </c>
      <c r="CV34" s="185">
        <v>0</v>
      </c>
      <c r="CW34" s="185">
        <v>0</v>
      </c>
      <c r="CX34" s="185">
        <v>0</v>
      </c>
      <c r="CY34" s="188">
        <v>32</v>
      </c>
      <c r="CZ34" s="387">
        <v>32</v>
      </c>
      <c r="DA34" s="188">
        <v>0</v>
      </c>
      <c r="DB34" s="185">
        <v>31</v>
      </c>
      <c r="DC34" s="185">
        <v>15</v>
      </c>
      <c r="DD34" s="189">
        <v>50</v>
      </c>
      <c r="DE34" s="185">
        <v>15</v>
      </c>
      <c r="DF34" s="185">
        <v>15</v>
      </c>
      <c r="DG34" s="189">
        <v>50</v>
      </c>
      <c r="DH34" s="185">
        <v>15</v>
      </c>
      <c r="DI34" s="185">
        <v>0</v>
      </c>
      <c r="DJ34" s="185">
        <v>0</v>
      </c>
      <c r="DK34" s="188">
        <v>0</v>
      </c>
      <c r="DL34" s="185">
        <v>0</v>
      </c>
      <c r="DM34" s="185">
        <v>0</v>
      </c>
      <c r="DN34" s="188">
        <v>0</v>
      </c>
      <c r="DO34" s="185">
        <v>0</v>
      </c>
      <c r="DP34" s="184">
        <f t="shared" si="6"/>
        <v>32</v>
      </c>
      <c r="DQ34" s="185">
        <v>31</v>
      </c>
    </row>
    <row r="35" spans="1:122">
      <c r="A35" s="43" t="s">
        <v>96</v>
      </c>
      <c r="B35" s="361">
        <v>29</v>
      </c>
      <c r="C35" s="362" t="s">
        <v>92</v>
      </c>
      <c r="D35" s="363">
        <v>1957</v>
      </c>
      <c r="E35" s="364"/>
      <c r="F35" s="364" t="s">
        <v>29</v>
      </c>
      <c r="G35" s="365">
        <v>1</v>
      </c>
      <c r="H35" s="364">
        <v>5</v>
      </c>
      <c r="I35" s="364" t="s">
        <v>100</v>
      </c>
      <c r="J35" s="366">
        <v>18888</v>
      </c>
      <c r="K35" s="366">
        <v>4157</v>
      </c>
      <c r="L35" s="366">
        <v>4914</v>
      </c>
      <c r="M35" s="366"/>
      <c r="N35" s="366">
        <f>192-1</f>
        <v>191</v>
      </c>
      <c r="O35" s="366">
        <f>464-3</f>
        <v>461</v>
      </c>
      <c r="P35" s="366">
        <v>220</v>
      </c>
      <c r="Q35" s="367">
        <v>403</v>
      </c>
      <c r="R35" s="368">
        <f>12900.5-113.8</f>
        <v>12786.7</v>
      </c>
      <c r="S35" s="369">
        <v>7606.3</v>
      </c>
      <c r="T35" s="367">
        <f t="shared" si="7"/>
        <v>179</v>
      </c>
      <c r="U35" s="371">
        <f t="shared" si="8"/>
        <v>11976.1</v>
      </c>
      <c r="V35" s="371">
        <f t="shared" si="9"/>
        <v>7120.5</v>
      </c>
      <c r="W35" s="372">
        <v>12</v>
      </c>
      <c r="X35" s="373">
        <v>810.6</v>
      </c>
      <c r="Y35" s="373">
        <v>485.8</v>
      </c>
      <c r="Z35" s="374"/>
      <c r="AA35" s="374"/>
      <c r="AB35" s="374"/>
      <c r="AC35" s="373">
        <f t="shared" si="10"/>
        <v>2212</v>
      </c>
      <c r="AD35" s="368">
        <f t="shared" si="11"/>
        <v>1052.4000000000001</v>
      </c>
      <c r="AE35" s="375"/>
      <c r="AF35" s="368">
        <f>1599.6-46.6-500.6</f>
        <v>1052.4000000000001</v>
      </c>
      <c r="AG35" s="375">
        <f>498.6+113.8+46.6+500.6</f>
        <v>1159.5999999999999</v>
      </c>
      <c r="AH35" s="376"/>
      <c r="AI35" s="375">
        <f t="shared" si="21"/>
        <v>14998.7</v>
      </c>
      <c r="AJ35" s="366"/>
      <c r="AK35" s="366"/>
      <c r="AL35" s="366">
        <v>11</v>
      </c>
      <c r="AM35" s="366"/>
      <c r="AN35" s="366"/>
      <c r="AO35" s="366">
        <v>4</v>
      </c>
      <c r="AP35" s="366">
        <v>9971</v>
      </c>
      <c r="AQ35" s="366">
        <v>585</v>
      </c>
      <c r="AR35" s="366">
        <v>845</v>
      </c>
      <c r="AS35" s="366">
        <v>694</v>
      </c>
      <c r="AT35" s="366">
        <v>330</v>
      </c>
      <c r="AU35" s="366">
        <f t="shared" si="22"/>
        <v>10923</v>
      </c>
      <c r="AV35" s="366"/>
      <c r="AW35" s="366">
        <v>10923</v>
      </c>
      <c r="AX35" s="366"/>
      <c r="AY35" s="366">
        <v>249</v>
      </c>
      <c r="AZ35" s="366">
        <v>3895</v>
      </c>
      <c r="BA35" s="366">
        <v>3895</v>
      </c>
      <c r="BB35" s="366">
        <v>55</v>
      </c>
      <c r="BC35" s="366">
        <v>22</v>
      </c>
      <c r="BD35" s="366">
        <v>686</v>
      </c>
      <c r="BE35" s="366">
        <v>1886</v>
      </c>
      <c r="BF35" s="366"/>
      <c r="BG35" s="366">
        <v>13595</v>
      </c>
      <c r="BH35" s="366">
        <v>418</v>
      </c>
      <c r="BI35" s="366"/>
      <c r="BJ35" s="366">
        <f t="shared" si="26"/>
        <v>1</v>
      </c>
      <c r="BK35" s="366">
        <f t="shared" si="27"/>
        <v>12786.7</v>
      </c>
      <c r="BL35" s="366">
        <f t="shared" si="27"/>
        <v>7606.3</v>
      </c>
      <c r="BM35" s="366"/>
      <c r="BN35" s="366"/>
      <c r="BO35" s="366"/>
      <c r="BP35" s="366"/>
      <c r="BQ35" s="366"/>
      <c r="BR35" s="366"/>
      <c r="BS35" s="366"/>
      <c r="BT35" s="366">
        <v>7</v>
      </c>
      <c r="BU35" s="366">
        <f t="shared" si="28"/>
        <v>3895</v>
      </c>
      <c r="BV35" s="366">
        <v>10860</v>
      </c>
      <c r="BW35" s="366"/>
      <c r="BX35" s="366">
        <f t="shared" si="29"/>
        <v>9971</v>
      </c>
      <c r="BY35" s="377">
        <v>1427.8</v>
      </c>
      <c r="BZ35" s="377">
        <v>1335.5</v>
      </c>
      <c r="CA35" s="378">
        <v>11228</v>
      </c>
      <c r="CB35" s="378">
        <f t="shared" si="1"/>
        <v>7071</v>
      </c>
      <c r="CC35" s="379" t="str">
        <f t="shared" si="24"/>
        <v>0</v>
      </c>
      <c r="CD35" s="380">
        <f t="shared" si="3"/>
        <v>0</v>
      </c>
      <c r="CE35" s="379">
        <f t="shared" si="4"/>
        <v>1</v>
      </c>
      <c r="CF35" s="380">
        <f t="shared" si="5"/>
        <v>10923</v>
      </c>
      <c r="CG35" s="380">
        <f t="shared" si="13"/>
        <v>1</v>
      </c>
      <c r="CH35" s="380">
        <f t="shared" si="14"/>
        <v>10923</v>
      </c>
      <c r="CI35" s="356">
        <v>35</v>
      </c>
      <c r="CJ35" s="382" t="str">
        <f t="shared" si="15"/>
        <v>0</v>
      </c>
      <c r="CK35" s="382" t="str">
        <f t="shared" si="16"/>
        <v>0</v>
      </c>
      <c r="CL35" s="383">
        <f t="shared" si="17"/>
        <v>6.3393995323265573</v>
      </c>
      <c r="CM35" s="382" t="str">
        <f t="shared" si="18"/>
        <v>0</v>
      </c>
      <c r="CN35" s="382" t="str">
        <f t="shared" si="19"/>
        <v>0</v>
      </c>
      <c r="CO35" s="383">
        <f t="shared" si="20"/>
        <v>12.421076493296084</v>
      </c>
      <c r="CP35" s="185">
        <v>1</v>
      </c>
      <c r="CQ35" s="185">
        <v>0</v>
      </c>
      <c r="CR35" s="185">
        <v>0</v>
      </c>
      <c r="CS35" s="185">
        <v>0</v>
      </c>
      <c r="CT35" s="185">
        <v>6</v>
      </c>
      <c r="CU35" s="185">
        <v>0</v>
      </c>
      <c r="CV35" s="185">
        <v>0</v>
      </c>
      <c r="CW35" s="185">
        <v>0</v>
      </c>
      <c r="CX35" s="185">
        <v>0</v>
      </c>
      <c r="CY35" s="188">
        <v>191</v>
      </c>
      <c r="CZ35" s="387">
        <v>183</v>
      </c>
      <c r="DA35" s="188">
        <v>8</v>
      </c>
      <c r="DB35" s="185">
        <v>168</v>
      </c>
      <c r="DC35" s="185">
        <v>58</v>
      </c>
      <c r="DD35" s="189">
        <v>277</v>
      </c>
      <c r="DE35" s="185">
        <v>59</v>
      </c>
      <c r="DF35" s="185">
        <v>58</v>
      </c>
      <c r="DG35" s="189">
        <v>277</v>
      </c>
      <c r="DH35" s="185">
        <v>59</v>
      </c>
      <c r="DI35" s="185">
        <v>6</v>
      </c>
      <c r="DJ35" s="185">
        <v>0</v>
      </c>
      <c r="DK35" s="188">
        <v>5</v>
      </c>
      <c r="DL35" s="185">
        <v>0</v>
      </c>
      <c r="DM35" s="185">
        <v>0</v>
      </c>
      <c r="DN35" s="188">
        <v>5</v>
      </c>
      <c r="DO35" s="185">
        <v>0</v>
      </c>
      <c r="DP35" s="184">
        <f t="shared" si="6"/>
        <v>191</v>
      </c>
      <c r="DQ35" s="185">
        <v>29</v>
      </c>
    </row>
    <row r="36" spans="1:122">
      <c r="A36" s="43" t="s">
        <v>96</v>
      </c>
      <c r="B36" s="361">
        <v>30</v>
      </c>
      <c r="C36" s="362" t="s">
        <v>114</v>
      </c>
      <c r="D36" s="363">
        <v>1983</v>
      </c>
      <c r="E36" s="364"/>
      <c r="F36" s="364" t="s">
        <v>28</v>
      </c>
      <c r="G36" s="365">
        <v>1</v>
      </c>
      <c r="H36" s="364">
        <v>9</v>
      </c>
      <c r="I36" s="364" t="s">
        <v>99</v>
      </c>
      <c r="J36" s="366">
        <f>19283+13445+19376</f>
        <v>52104</v>
      </c>
      <c r="K36" s="366">
        <f>743+558+748</f>
        <v>2049</v>
      </c>
      <c r="L36" s="366"/>
      <c r="M36" s="366">
        <f>700+510+705</f>
        <v>1915</v>
      </c>
      <c r="N36" s="366">
        <v>192</v>
      </c>
      <c r="O36" s="366">
        <v>459</v>
      </c>
      <c r="P36" s="366">
        <v>194</v>
      </c>
      <c r="Q36" s="367">
        <v>407</v>
      </c>
      <c r="R36" s="368">
        <v>11640.2</v>
      </c>
      <c r="S36" s="369">
        <v>7084.7</v>
      </c>
      <c r="T36" s="367">
        <f t="shared" si="7"/>
        <v>173</v>
      </c>
      <c r="U36" s="389">
        <f t="shared" si="8"/>
        <v>10393.200000000001</v>
      </c>
      <c r="V36" s="389">
        <f t="shared" si="9"/>
        <v>6307.2</v>
      </c>
      <c r="W36" s="372">
        <v>19</v>
      </c>
      <c r="X36" s="373">
        <v>1247</v>
      </c>
      <c r="Y36" s="373">
        <v>777.5</v>
      </c>
      <c r="Z36" s="374"/>
      <c r="AA36" s="374"/>
      <c r="AB36" s="374"/>
      <c r="AC36" s="373">
        <f t="shared" si="10"/>
        <v>95.5</v>
      </c>
      <c r="AD36" s="368">
        <f t="shared" si="11"/>
        <v>95.5</v>
      </c>
      <c r="AE36" s="375"/>
      <c r="AF36" s="368">
        <v>95.5</v>
      </c>
      <c r="AG36" s="375"/>
      <c r="AH36" s="376"/>
      <c r="AI36" s="375">
        <f t="shared" si="21"/>
        <v>11735.7</v>
      </c>
      <c r="AJ36" s="366"/>
      <c r="AK36" s="366">
        <v>5</v>
      </c>
      <c r="AL36" s="366">
        <v>5</v>
      </c>
      <c r="AM36" s="366">
        <v>5</v>
      </c>
      <c r="AN36" s="366"/>
      <c r="AO36" s="366">
        <v>5</v>
      </c>
      <c r="AP36" s="366">
        <f>2130+3480+3480</f>
        <v>9090</v>
      </c>
      <c r="AQ36" s="366">
        <v>583</v>
      </c>
      <c r="AR36" s="366">
        <v>660</v>
      </c>
      <c r="AS36" s="366">
        <f>106+168+262</f>
        <v>536</v>
      </c>
      <c r="AT36" s="366">
        <f>143+286+286</f>
        <v>715</v>
      </c>
      <c r="AU36" s="366">
        <f t="shared" si="22"/>
        <v>19928</v>
      </c>
      <c r="AV36" s="366"/>
      <c r="AW36" s="366">
        <f>5436+7246+7246</f>
        <v>19928</v>
      </c>
      <c r="AX36" s="366">
        <v>1900</v>
      </c>
      <c r="AY36" s="366">
        <f>169+132+170</f>
        <v>471</v>
      </c>
      <c r="AZ36" s="366">
        <f>510+701+701</f>
        <v>1912</v>
      </c>
      <c r="BA36" s="366">
        <f>510+701+701</f>
        <v>1912</v>
      </c>
      <c r="BB36" s="366">
        <f>34+17+34</f>
        <v>85</v>
      </c>
      <c r="BC36" s="366">
        <v>10</v>
      </c>
      <c r="BD36" s="366">
        <f>141+257+258</f>
        <v>656</v>
      </c>
      <c r="BE36" s="366">
        <f>459+677+678</f>
        <v>1814</v>
      </c>
      <c r="BF36" s="366"/>
      <c r="BG36" s="366">
        <f>3800+7600+7600</f>
        <v>19000</v>
      </c>
      <c r="BH36" s="366">
        <f>1635+3270+3270</f>
        <v>8175</v>
      </c>
      <c r="BI36" s="366">
        <f>45+90+90</f>
        <v>225</v>
      </c>
      <c r="BJ36" s="366"/>
      <c r="BK36" s="366"/>
      <c r="BL36" s="366"/>
      <c r="BM36" s="366">
        <f>G36</f>
        <v>1</v>
      </c>
      <c r="BN36" s="366">
        <f>R36</f>
        <v>11640.2</v>
      </c>
      <c r="BO36" s="366">
        <f>S36</f>
        <v>7084.7</v>
      </c>
      <c r="BP36" s="366"/>
      <c r="BQ36" s="366"/>
      <c r="BR36" s="366"/>
      <c r="BS36" s="366"/>
      <c r="BT36" s="366">
        <v>4</v>
      </c>
      <c r="BU36" s="366"/>
      <c r="BV36" s="366"/>
      <c r="BW36" s="366"/>
      <c r="BX36" s="366"/>
      <c r="BY36" s="377">
        <v>2298.8999999999996</v>
      </c>
      <c r="BZ36" s="377">
        <v>2086.9</v>
      </c>
      <c r="CA36" s="378">
        <v>4791</v>
      </c>
      <c r="CB36" s="378">
        <f t="shared" si="1"/>
        <v>2742</v>
      </c>
      <c r="CC36" s="379" t="str">
        <f t="shared" si="24"/>
        <v>0</v>
      </c>
      <c r="CD36" s="380">
        <f t="shared" si="3"/>
        <v>0</v>
      </c>
      <c r="CE36" s="379">
        <f t="shared" si="4"/>
        <v>1</v>
      </c>
      <c r="CF36" s="380">
        <f t="shared" si="5"/>
        <v>19928</v>
      </c>
      <c r="CG36" s="380">
        <f t="shared" si="13"/>
        <v>1</v>
      </c>
      <c r="CH36" s="380">
        <f t="shared" si="14"/>
        <v>19928</v>
      </c>
      <c r="CI36" s="356">
        <v>32</v>
      </c>
      <c r="CJ36" s="382" t="str">
        <f t="shared" si="15"/>
        <v>0</v>
      </c>
      <c r="CK36" s="382" t="str">
        <f t="shared" si="16"/>
        <v>0</v>
      </c>
      <c r="CL36" s="383">
        <f t="shared" si="17"/>
        <v>10.712874349237984</v>
      </c>
      <c r="CM36" s="382" t="str">
        <f t="shared" si="18"/>
        <v>0</v>
      </c>
      <c r="CN36" s="382" t="str">
        <f t="shared" si="19"/>
        <v>0</v>
      </c>
      <c r="CO36" s="383">
        <f t="shared" si="20"/>
        <v>11.439453973772334</v>
      </c>
      <c r="CP36" s="185">
        <v>1</v>
      </c>
      <c r="CQ36" s="185">
        <v>0</v>
      </c>
      <c r="CR36" s="185">
        <v>0</v>
      </c>
      <c r="CS36" s="185">
        <v>0</v>
      </c>
      <c r="CT36" s="185">
        <v>4</v>
      </c>
      <c r="CU36" s="185">
        <v>0</v>
      </c>
      <c r="CV36" s="185">
        <v>0</v>
      </c>
      <c r="CW36" s="185">
        <v>0</v>
      </c>
      <c r="CX36" s="185">
        <v>0</v>
      </c>
      <c r="CY36" s="188">
        <v>192</v>
      </c>
      <c r="CZ36" s="387">
        <v>175</v>
      </c>
      <c r="DA36" s="188">
        <v>17</v>
      </c>
      <c r="DB36" s="185">
        <v>154</v>
      </c>
      <c r="DC36" s="185">
        <v>96</v>
      </c>
      <c r="DD36" s="189">
        <v>275</v>
      </c>
      <c r="DE36" s="185">
        <v>122</v>
      </c>
      <c r="DF36" s="185">
        <v>96</v>
      </c>
      <c r="DG36" s="189">
        <v>275</v>
      </c>
      <c r="DH36" s="185">
        <v>122</v>
      </c>
      <c r="DI36" s="185">
        <v>15</v>
      </c>
      <c r="DJ36" s="185">
        <v>6</v>
      </c>
      <c r="DK36" s="188">
        <v>20</v>
      </c>
      <c r="DL36" s="185">
        <v>7</v>
      </c>
      <c r="DM36" s="185">
        <v>6</v>
      </c>
      <c r="DN36" s="188">
        <v>20</v>
      </c>
      <c r="DO36" s="185">
        <v>7</v>
      </c>
      <c r="DP36" s="184">
        <f t="shared" si="6"/>
        <v>192</v>
      </c>
      <c r="DQ36" s="185">
        <v>192</v>
      </c>
    </row>
    <row r="37" spans="1:122">
      <c r="A37" s="43" t="s">
        <v>96</v>
      </c>
      <c r="B37" s="361">
        <v>31</v>
      </c>
      <c r="C37" s="362" t="s">
        <v>83</v>
      </c>
      <c r="D37" s="363">
        <v>1985</v>
      </c>
      <c r="E37" s="364"/>
      <c r="F37" s="364" t="s">
        <v>108</v>
      </c>
      <c r="G37" s="365">
        <v>1</v>
      </c>
      <c r="H37" s="364">
        <v>9</v>
      </c>
      <c r="I37" s="364" t="s">
        <v>100</v>
      </c>
      <c r="J37" s="366">
        <v>19996</v>
      </c>
      <c r="K37" s="366">
        <v>1340</v>
      </c>
      <c r="L37" s="366"/>
      <c r="M37" s="366">
        <v>1227</v>
      </c>
      <c r="N37" s="366">
        <v>96</v>
      </c>
      <c r="O37" s="366">
        <v>208</v>
      </c>
      <c r="P37" s="366">
        <v>97</v>
      </c>
      <c r="Q37" s="367">
        <v>164</v>
      </c>
      <c r="R37" s="368">
        <v>4991.1000000000004</v>
      </c>
      <c r="S37" s="369">
        <v>2832</v>
      </c>
      <c r="T37" s="367">
        <f t="shared" si="7"/>
        <v>84</v>
      </c>
      <c r="U37" s="371">
        <f t="shared" si="8"/>
        <v>4316</v>
      </c>
      <c r="V37" s="371">
        <f t="shared" si="9"/>
        <v>2440.2000000000003</v>
      </c>
      <c r="W37" s="372">
        <v>12</v>
      </c>
      <c r="X37" s="373">
        <v>675.1</v>
      </c>
      <c r="Y37" s="373">
        <v>391.79999999999973</v>
      </c>
      <c r="Z37" s="374"/>
      <c r="AA37" s="374"/>
      <c r="AB37" s="374"/>
      <c r="AC37" s="373">
        <f t="shared" si="10"/>
        <v>707</v>
      </c>
      <c r="AD37" s="368">
        <f t="shared" si="11"/>
        <v>707</v>
      </c>
      <c r="AE37" s="375"/>
      <c r="AF37" s="368">
        <v>707</v>
      </c>
      <c r="AG37" s="375"/>
      <c r="AH37" s="376"/>
      <c r="AI37" s="375">
        <f t="shared" si="21"/>
        <v>5698.1</v>
      </c>
      <c r="AJ37" s="366"/>
      <c r="AK37" s="366">
        <v>3</v>
      </c>
      <c r="AL37" s="366">
        <v>3</v>
      </c>
      <c r="AM37" s="366">
        <v>3</v>
      </c>
      <c r="AN37" s="366"/>
      <c r="AO37" s="366">
        <v>3</v>
      </c>
      <c r="AP37" s="366">
        <v>4680</v>
      </c>
      <c r="AQ37" s="366">
        <v>583</v>
      </c>
      <c r="AR37" s="366">
        <v>340</v>
      </c>
      <c r="AS37" s="366">
        <v>262</v>
      </c>
      <c r="AT37" s="366">
        <v>210</v>
      </c>
      <c r="AU37" s="366">
        <f t="shared" si="22"/>
        <v>6360</v>
      </c>
      <c r="AV37" s="366"/>
      <c r="AW37" s="366">
        <v>6360</v>
      </c>
      <c r="AX37" s="366"/>
      <c r="AY37" s="366">
        <v>274</v>
      </c>
      <c r="AZ37" s="366">
        <v>1110</v>
      </c>
      <c r="BA37" s="366">
        <v>1110</v>
      </c>
      <c r="BB37" s="366">
        <v>0</v>
      </c>
      <c r="BC37" s="366">
        <v>6</v>
      </c>
      <c r="BD37" s="366">
        <v>256</v>
      </c>
      <c r="BE37" s="366">
        <v>654</v>
      </c>
      <c r="BF37" s="366"/>
      <c r="BG37" s="366">
        <v>17100</v>
      </c>
      <c r="BH37" s="366">
        <v>4905</v>
      </c>
      <c r="BI37" s="366">
        <v>135</v>
      </c>
      <c r="BJ37" s="366">
        <f>G37</f>
        <v>1</v>
      </c>
      <c r="BK37" s="366">
        <f>R37</f>
        <v>4991.1000000000004</v>
      </c>
      <c r="BL37" s="366">
        <f>S37</f>
        <v>2832</v>
      </c>
      <c r="BM37" s="366"/>
      <c r="BN37" s="366"/>
      <c r="BO37" s="366"/>
      <c r="BP37" s="366"/>
      <c r="BQ37" s="366"/>
      <c r="BR37" s="366"/>
      <c r="BS37" s="366"/>
      <c r="BT37" s="366">
        <v>3</v>
      </c>
      <c r="BU37" s="366">
        <f>BA37</f>
        <v>1110</v>
      </c>
      <c r="BV37" s="366">
        <v>10123</v>
      </c>
      <c r="BW37" s="366"/>
      <c r="BX37" s="366">
        <f>AP37</f>
        <v>4680</v>
      </c>
      <c r="BY37" s="377">
        <v>1879.2000000000003</v>
      </c>
      <c r="BZ37" s="377">
        <v>1111.7</v>
      </c>
      <c r="CA37" s="378">
        <v>3695</v>
      </c>
      <c r="CB37" s="378">
        <f t="shared" si="1"/>
        <v>2355</v>
      </c>
      <c r="CC37" s="379" t="str">
        <f t="shared" si="24"/>
        <v>0</v>
      </c>
      <c r="CD37" s="380">
        <f t="shared" si="3"/>
        <v>0</v>
      </c>
      <c r="CE37" s="379">
        <f t="shared" si="4"/>
        <v>1</v>
      </c>
      <c r="CF37" s="380">
        <f t="shared" si="5"/>
        <v>6360</v>
      </c>
      <c r="CG37" s="380">
        <f t="shared" si="13"/>
        <v>1</v>
      </c>
      <c r="CH37" s="380">
        <f t="shared" si="14"/>
        <v>6360</v>
      </c>
      <c r="CI37" s="356">
        <v>24</v>
      </c>
      <c r="CJ37" s="382" t="str">
        <f t="shared" si="15"/>
        <v>0</v>
      </c>
      <c r="CK37" s="382" t="str">
        <f t="shared" si="16"/>
        <v>0</v>
      </c>
      <c r="CL37" s="383">
        <f t="shared" si="17"/>
        <v>13.526076416020516</v>
      </c>
      <c r="CM37" s="382" t="str">
        <f t="shared" si="18"/>
        <v>0</v>
      </c>
      <c r="CN37" s="382" t="str">
        <f t="shared" si="19"/>
        <v>0</v>
      </c>
      <c r="CO37" s="383">
        <f t="shared" si="20"/>
        <v>24.255453572243376</v>
      </c>
      <c r="CP37" s="185">
        <v>1</v>
      </c>
      <c r="CQ37" s="185">
        <v>0</v>
      </c>
      <c r="CR37" s="185">
        <v>0</v>
      </c>
      <c r="CS37" s="185">
        <v>0</v>
      </c>
      <c r="CT37" s="185">
        <v>2</v>
      </c>
      <c r="CU37" s="185">
        <v>0</v>
      </c>
      <c r="CV37" s="185">
        <v>0</v>
      </c>
      <c r="CW37" s="185">
        <v>0</v>
      </c>
      <c r="CX37" s="185">
        <v>0</v>
      </c>
      <c r="CY37" s="188">
        <v>96</v>
      </c>
      <c r="CZ37" s="387">
        <v>89</v>
      </c>
      <c r="DA37" s="188">
        <v>7</v>
      </c>
      <c r="DB37" s="185">
        <v>76</v>
      </c>
      <c r="DC37" s="185">
        <v>44</v>
      </c>
      <c r="DD37" s="189">
        <v>136</v>
      </c>
      <c r="DE37" s="185">
        <v>67</v>
      </c>
      <c r="DF37" s="185">
        <v>44</v>
      </c>
      <c r="DG37" s="189">
        <v>136</v>
      </c>
      <c r="DH37" s="185">
        <v>67</v>
      </c>
      <c r="DI37" s="185">
        <v>6</v>
      </c>
      <c r="DJ37" s="185">
        <v>1</v>
      </c>
      <c r="DK37" s="188">
        <v>8</v>
      </c>
      <c r="DL37" s="185">
        <v>2</v>
      </c>
      <c r="DM37" s="185">
        <v>1</v>
      </c>
      <c r="DN37" s="188">
        <v>8</v>
      </c>
      <c r="DO37" s="185">
        <v>2</v>
      </c>
      <c r="DP37" s="184">
        <f t="shared" si="6"/>
        <v>96</v>
      </c>
      <c r="DQ37" s="185">
        <v>96</v>
      </c>
    </row>
    <row r="38" spans="1:122">
      <c r="A38" s="43" t="s">
        <v>96</v>
      </c>
      <c r="B38" s="361">
        <v>32</v>
      </c>
      <c r="C38" s="362" t="s">
        <v>84</v>
      </c>
      <c r="D38" s="363">
        <v>1983</v>
      </c>
      <c r="E38" s="364"/>
      <c r="F38" s="364" t="s">
        <v>108</v>
      </c>
      <c r="G38" s="365">
        <v>1</v>
      </c>
      <c r="H38" s="364">
        <v>9</v>
      </c>
      <c r="I38" s="364" t="s">
        <v>100</v>
      </c>
      <c r="J38" s="366">
        <v>12849</v>
      </c>
      <c r="K38" s="366">
        <v>1075</v>
      </c>
      <c r="L38" s="366"/>
      <c r="M38" s="366">
        <v>1075</v>
      </c>
      <c r="N38" s="366">
        <v>63</v>
      </c>
      <c r="O38" s="366">
        <v>143</v>
      </c>
      <c r="P38" s="366">
        <v>66</v>
      </c>
      <c r="Q38" s="367">
        <v>125</v>
      </c>
      <c r="R38" s="368">
        <v>3308.6</v>
      </c>
      <c r="S38" s="369">
        <v>1941.4</v>
      </c>
      <c r="T38" s="367">
        <f t="shared" si="7"/>
        <v>57</v>
      </c>
      <c r="U38" s="371">
        <f t="shared" si="8"/>
        <v>2945.9999999999995</v>
      </c>
      <c r="V38" s="371">
        <f t="shared" si="9"/>
        <v>1720.8999999999999</v>
      </c>
      <c r="W38" s="372">
        <v>6</v>
      </c>
      <c r="X38" s="373">
        <v>362.60000000000036</v>
      </c>
      <c r="Y38" s="373">
        <v>220.50000000000023</v>
      </c>
      <c r="Z38" s="374"/>
      <c r="AA38" s="374"/>
      <c r="AB38" s="374"/>
      <c r="AC38" s="373">
        <f t="shared" si="10"/>
        <v>640.5</v>
      </c>
      <c r="AD38" s="368">
        <f t="shared" si="11"/>
        <v>238.7</v>
      </c>
      <c r="AE38" s="375"/>
      <c r="AF38" s="368">
        <f>640.5-401.8</f>
        <v>238.7</v>
      </c>
      <c r="AG38" s="375">
        <f>401.8</f>
        <v>401.8</v>
      </c>
      <c r="AH38" s="376"/>
      <c r="AI38" s="375">
        <f t="shared" si="21"/>
        <v>3949.1</v>
      </c>
      <c r="AJ38" s="366"/>
      <c r="AK38" s="366">
        <v>2</v>
      </c>
      <c r="AL38" s="366">
        <v>2</v>
      </c>
      <c r="AM38" s="366">
        <v>2</v>
      </c>
      <c r="AN38" s="366"/>
      <c r="AO38" s="366">
        <v>2</v>
      </c>
      <c r="AP38" s="366">
        <v>4680</v>
      </c>
      <c r="AQ38" s="366">
        <v>583</v>
      </c>
      <c r="AR38" s="366">
        <v>215</v>
      </c>
      <c r="AS38" s="366">
        <v>234</v>
      </c>
      <c r="AT38" s="366">
        <v>140</v>
      </c>
      <c r="AU38" s="366">
        <f t="shared" si="22"/>
        <v>4240</v>
      </c>
      <c r="AV38" s="366"/>
      <c r="AW38" s="366">
        <v>4240</v>
      </c>
      <c r="AX38" s="366"/>
      <c r="AY38" s="366">
        <v>195</v>
      </c>
      <c r="AZ38" s="366">
        <v>980</v>
      </c>
      <c r="BA38" s="366">
        <v>980</v>
      </c>
      <c r="BB38" s="366">
        <v>0</v>
      </c>
      <c r="BC38" s="366">
        <v>4</v>
      </c>
      <c r="BD38" s="366">
        <v>237</v>
      </c>
      <c r="BE38" s="366">
        <v>584</v>
      </c>
      <c r="BF38" s="366"/>
      <c r="BG38" s="366">
        <v>11400</v>
      </c>
      <c r="BH38" s="366">
        <v>3270</v>
      </c>
      <c r="BI38" s="366">
        <v>90</v>
      </c>
      <c r="BJ38" s="366">
        <f>G38</f>
        <v>1</v>
      </c>
      <c r="BK38" s="366">
        <f>R38</f>
        <v>3308.6</v>
      </c>
      <c r="BL38" s="366">
        <f>S38</f>
        <v>1941.4</v>
      </c>
      <c r="BM38" s="366"/>
      <c r="BN38" s="366"/>
      <c r="BO38" s="366"/>
      <c r="BP38" s="366"/>
      <c r="BQ38" s="366"/>
      <c r="BR38" s="366"/>
      <c r="BS38" s="366"/>
      <c r="BT38" s="366">
        <v>1</v>
      </c>
      <c r="BU38" s="366">
        <f>BA38</f>
        <v>980</v>
      </c>
      <c r="BV38" s="366">
        <v>7036</v>
      </c>
      <c r="BW38" s="366"/>
      <c r="BX38" s="366">
        <f>AP38</f>
        <v>4680</v>
      </c>
      <c r="BY38" s="377">
        <v>1259.2000000000003</v>
      </c>
      <c r="BZ38" s="377">
        <v>722.6</v>
      </c>
      <c r="CA38" s="378">
        <v>2686</v>
      </c>
      <c r="CB38" s="378">
        <f t="shared" si="1"/>
        <v>1611</v>
      </c>
      <c r="CC38" s="379" t="str">
        <f t="shared" si="24"/>
        <v>0</v>
      </c>
      <c r="CD38" s="380">
        <f t="shared" si="3"/>
        <v>0</v>
      </c>
      <c r="CE38" s="379">
        <f t="shared" si="4"/>
        <v>1</v>
      </c>
      <c r="CF38" s="380">
        <f t="shared" si="5"/>
        <v>4240</v>
      </c>
      <c r="CG38" s="380">
        <f t="shared" si="13"/>
        <v>1</v>
      </c>
      <c r="CH38" s="380">
        <f t="shared" si="14"/>
        <v>4240</v>
      </c>
      <c r="CI38" s="356">
        <v>33</v>
      </c>
      <c r="CJ38" s="382" t="str">
        <f t="shared" si="15"/>
        <v>0</v>
      </c>
      <c r="CK38" s="382" t="str">
        <f t="shared" si="16"/>
        <v>0</v>
      </c>
      <c r="CL38" s="383">
        <f t="shared" si="17"/>
        <v>10.959318140603287</v>
      </c>
      <c r="CM38" s="382" t="str">
        <f t="shared" si="18"/>
        <v>0</v>
      </c>
      <c r="CN38" s="382" t="str">
        <f t="shared" si="19"/>
        <v>0</v>
      </c>
      <c r="CO38" s="383">
        <f t="shared" si="20"/>
        <v>15.226254083208843</v>
      </c>
      <c r="CP38" s="185">
        <v>1</v>
      </c>
      <c r="CQ38" s="185">
        <v>0</v>
      </c>
      <c r="CR38" s="185">
        <v>0</v>
      </c>
      <c r="CS38" s="185">
        <v>0</v>
      </c>
      <c r="CT38" s="185">
        <v>2</v>
      </c>
      <c r="CU38" s="185">
        <v>0</v>
      </c>
      <c r="CV38" s="185">
        <v>0</v>
      </c>
      <c r="CW38" s="185">
        <v>0</v>
      </c>
      <c r="CX38" s="185">
        <v>0</v>
      </c>
      <c r="CY38" s="188">
        <v>63</v>
      </c>
      <c r="CZ38" s="387">
        <v>59</v>
      </c>
      <c r="DA38" s="188">
        <v>4</v>
      </c>
      <c r="DB38" s="185">
        <v>59</v>
      </c>
      <c r="DC38" s="185">
        <v>25</v>
      </c>
      <c r="DD38" s="189">
        <v>94</v>
      </c>
      <c r="DE38" s="185">
        <v>39</v>
      </c>
      <c r="DF38" s="185">
        <v>25</v>
      </c>
      <c r="DG38" s="189">
        <v>94</v>
      </c>
      <c r="DH38" s="185">
        <v>39</v>
      </c>
      <c r="DI38" s="185">
        <v>4</v>
      </c>
      <c r="DJ38" s="185">
        <v>0</v>
      </c>
      <c r="DK38" s="188">
        <v>4</v>
      </c>
      <c r="DL38" s="185">
        <v>0</v>
      </c>
      <c r="DM38" s="185">
        <v>0</v>
      </c>
      <c r="DN38" s="188">
        <v>4</v>
      </c>
      <c r="DO38" s="185">
        <v>0</v>
      </c>
      <c r="DP38" s="184">
        <f t="shared" si="6"/>
        <v>63</v>
      </c>
      <c r="DQ38" s="185">
        <v>63</v>
      </c>
    </row>
    <row r="39" spans="1:122" ht="13.5" customHeight="1">
      <c r="A39" s="43" t="s">
        <v>96</v>
      </c>
      <c r="B39" s="361">
        <v>33</v>
      </c>
      <c r="C39" s="362" t="s">
        <v>85</v>
      </c>
      <c r="D39" s="363">
        <v>1981</v>
      </c>
      <c r="E39" s="364"/>
      <c r="F39" s="364" t="s">
        <v>28</v>
      </c>
      <c r="G39" s="365">
        <v>1</v>
      </c>
      <c r="H39" s="364">
        <v>9</v>
      </c>
      <c r="I39" s="364" t="s">
        <v>99</v>
      </c>
      <c r="J39" s="366">
        <v>19902</v>
      </c>
      <c r="K39" s="366">
        <v>766</v>
      </c>
      <c r="L39" s="366"/>
      <c r="M39" s="366">
        <v>723</v>
      </c>
      <c r="N39" s="366">
        <v>70</v>
      </c>
      <c r="O39" s="366">
        <v>197</v>
      </c>
      <c r="P39" s="366">
        <v>71</v>
      </c>
      <c r="Q39" s="367">
        <v>193</v>
      </c>
      <c r="R39" s="368">
        <v>4520.5</v>
      </c>
      <c r="S39" s="369">
        <v>2865.8</v>
      </c>
      <c r="T39" s="367">
        <f t="shared" si="7"/>
        <v>63</v>
      </c>
      <c r="U39" s="371">
        <f t="shared" si="8"/>
        <v>4029.2</v>
      </c>
      <c r="V39" s="371">
        <f t="shared" si="9"/>
        <v>2552.7000000000003</v>
      </c>
      <c r="W39" s="372">
        <v>7</v>
      </c>
      <c r="X39" s="373">
        <v>491.3</v>
      </c>
      <c r="Y39" s="373">
        <v>313.10000000000002</v>
      </c>
      <c r="Z39" s="374"/>
      <c r="AA39" s="374"/>
      <c r="AB39" s="374"/>
      <c r="AC39" s="373">
        <f t="shared" si="10"/>
        <v>0</v>
      </c>
      <c r="AD39" s="368">
        <f t="shared" si="11"/>
        <v>0</v>
      </c>
      <c r="AE39" s="375"/>
      <c r="AF39" s="368">
        <v>0</v>
      </c>
      <c r="AG39" s="375"/>
      <c r="AH39" s="376"/>
      <c r="AI39" s="375">
        <f t="shared" si="21"/>
        <v>4520.5</v>
      </c>
      <c r="AJ39" s="366"/>
      <c r="AK39" s="366">
        <v>2</v>
      </c>
      <c r="AL39" s="366">
        <v>2</v>
      </c>
      <c r="AM39" s="366">
        <v>1</v>
      </c>
      <c r="AN39" s="366"/>
      <c r="AO39" s="366">
        <v>2</v>
      </c>
      <c r="AP39" s="366">
        <v>3930</v>
      </c>
      <c r="AQ39" s="366"/>
      <c r="AR39" s="366">
        <v>391</v>
      </c>
      <c r="AS39" s="366">
        <v>157</v>
      </c>
      <c r="AT39" s="366">
        <v>286</v>
      </c>
      <c r="AU39" s="366">
        <f t="shared" si="22"/>
        <v>7246</v>
      </c>
      <c r="AV39" s="366"/>
      <c r="AW39" s="366">
        <v>7246</v>
      </c>
      <c r="AX39" s="366">
        <v>2140</v>
      </c>
      <c r="AY39" s="366">
        <v>165</v>
      </c>
      <c r="AZ39" s="366">
        <v>723</v>
      </c>
      <c r="BA39" s="366">
        <v>723</v>
      </c>
      <c r="BB39" s="366">
        <v>34</v>
      </c>
      <c r="BC39" s="366">
        <v>4</v>
      </c>
      <c r="BD39" s="366">
        <v>237</v>
      </c>
      <c r="BE39" s="366">
        <v>584</v>
      </c>
      <c r="BF39" s="366"/>
      <c r="BG39" s="366">
        <v>7600</v>
      </c>
      <c r="BH39" s="366">
        <v>3270</v>
      </c>
      <c r="BI39" s="366">
        <v>90</v>
      </c>
      <c r="BJ39" s="366"/>
      <c r="BK39" s="366"/>
      <c r="BL39" s="366"/>
      <c r="BM39" s="366">
        <f>G39</f>
        <v>1</v>
      </c>
      <c r="BN39" s="366">
        <f>R39</f>
        <v>4520.5</v>
      </c>
      <c r="BO39" s="366">
        <f>S39</f>
        <v>2865.8</v>
      </c>
      <c r="BP39" s="366"/>
      <c r="BQ39" s="366"/>
      <c r="BR39" s="366"/>
      <c r="BS39" s="366"/>
      <c r="BT39" s="366">
        <v>2</v>
      </c>
      <c r="BU39" s="366"/>
      <c r="BV39" s="366"/>
      <c r="BW39" s="366"/>
      <c r="BX39" s="366"/>
      <c r="BY39" s="377">
        <v>839.4</v>
      </c>
      <c r="BZ39" s="377">
        <v>752.9</v>
      </c>
      <c r="CA39" s="378">
        <v>2136</v>
      </c>
      <c r="CB39" s="378">
        <f t="shared" si="1"/>
        <v>1370</v>
      </c>
      <c r="CC39" s="379" t="str">
        <f t="shared" si="24"/>
        <v>0</v>
      </c>
      <c r="CD39" s="380">
        <f t="shared" si="3"/>
        <v>0</v>
      </c>
      <c r="CE39" s="379">
        <f t="shared" si="4"/>
        <v>1</v>
      </c>
      <c r="CF39" s="380">
        <f t="shared" si="5"/>
        <v>7246</v>
      </c>
      <c r="CG39" s="380">
        <f t="shared" si="13"/>
        <v>1</v>
      </c>
      <c r="CH39" s="380">
        <f t="shared" si="14"/>
        <v>7246</v>
      </c>
      <c r="CI39" s="356">
        <v>31</v>
      </c>
      <c r="CJ39" s="382" t="str">
        <f t="shared" si="15"/>
        <v>0</v>
      </c>
      <c r="CK39" s="382" t="str">
        <f t="shared" si="16"/>
        <v>0</v>
      </c>
      <c r="CL39" s="383">
        <f t="shared" si="17"/>
        <v>10.868266784647716</v>
      </c>
      <c r="CM39" s="382" t="str">
        <f t="shared" si="18"/>
        <v>0</v>
      </c>
      <c r="CN39" s="382" t="str">
        <f t="shared" si="19"/>
        <v>0</v>
      </c>
      <c r="CO39" s="383">
        <f t="shared" si="20"/>
        <v>10.868266784647716</v>
      </c>
      <c r="CP39" s="185">
        <v>1</v>
      </c>
      <c r="CQ39" s="185">
        <v>1</v>
      </c>
      <c r="CR39" s="185">
        <v>1</v>
      </c>
      <c r="CS39" s="185">
        <v>1</v>
      </c>
      <c r="CT39" s="185">
        <v>2</v>
      </c>
      <c r="CU39" s="185">
        <v>0</v>
      </c>
      <c r="CV39" s="185">
        <v>0</v>
      </c>
      <c r="CW39" s="185">
        <v>0</v>
      </c>
      <c r="CX39" s="185">
        <v>2</v>
      </c>
      <c r="CY39" s="188">
        <v>70</v>
      </c>
      <c r="CZ39" s="387">
        <v>65</v>
      </c>
      <c r="DA39" s="188">
        <v>5</v>
      </c>
      <c r="DB39" s="185">
        <v>59</v>
      </c>
      <c r="DC39" s="185">
        <v>39</v>
      </c>
      <c r="DD39" s="189">
        <v>118</v>
      </c>
      <c r="DE39" s="185">
        <v>47</v>
      </c>
      <c r="DF39" s="185">
        <v>39</v>
      </c>
      <c r="DG39" s="189">
        <v>118</v>
      </c>
      <c r="DH39" s="185">
        <v>47</v>
      </c>
      <c r="DI39" s="185">
        <v>5</v>
      </c>
      <c r="DJ39" s="185">
        <v>2</v>
      </c>
      <c r="DK39" s="188">
        <v>8</v>
      </c>
      <c r="DL39" s="185">
        <v>3</v>
      </c>
      <c r="DM39" s="185">
        <v>2</v>
      </c>
      <c r="DN39" s="188">
        <v>8</v>
      </c>
      <c r="DO39" s="185">
        <v>3</v>
      </c>
      <c r="DP39" s="184">
        <f t="shared" si="6"/>
        <v>70</v>
      </c>
      <c r="DQ39" s="185">
        <v>70</v>
      </c>
    </row>
    <row r="40" spans="1:122">
      <c r="A40" s="43" t="s">
        <v>96</v>
      </c>
      <c r="B40" s="361">
        <v>34</v>
      </c>
      <c r="C40" s="362" t="s">
        <v>115</v>
      </c>
      <c r="D40" s="363">
        <v>1983</v>
      </c>
      <c r="E40" s="364"/>
      <c r="F40" s="364" t="s">
        <v>28</v>
      </c>
      <c r="G40" s="365">
        <v>1</v>
      </c>
      <c r="H40" s="364">
        <v>9</v>
      </c>
      <c r="I40" s="364" t="s">
        <v>112</v>
      </c>
      <c r="J40" s="366">
        <f>18946+16017+18838</f>
        <v>53801</v>
      </c>
      <c r="K40" s="366">
        <f>562+744+732</f>
        <v>2038</v>
      </c>
      <c r="L40" s="366"/>
      <c r="M40" s="366">
        <f>704+562+692</f>
        <v>1958</v>
      </c>
      <c r="N40" s="366">
        <v>194</v>
      </c>
      <c r="O40" s="366">
        <v>480</v>
      </c>
      <c r="P40" s="366">
        <v>198</v>
      </c>
      <c r="Q40" s="367">
        <v>467</v>
      </c>
      <c r="R40" s="368">
        <v>11814.4</v>
      </c>
      <c r="S40" s="369">
        <v>7222</v>
      </c>
      <c r="T40" s="367">
        <f t="shared" si="7"/>
        <v>179</v>
      </c>
      <c r="U40" s="371">
        <f t="shared" si="8"/>
        <v>10786.6</v>
      </c>
      <c r="V40" s="371">
        <f t="shared" si="9"/>
        <v>6581.3</v>
      </c>
      <c r="W40" s="372">
        <v>15</v>
      </c>
      <c r="X40" s="373">
        <v>1027.8</v>
      </c>
      <c r="Y40" s="373">
        <v>640.70000000000005</v>
      </c>
      <c r="Z40" s="374"/>
      <c r="AA40" s="374"/>
      <c r="AB40" s="374"/>
      <c r="AC40" s="373">
        <f t="shared" si="10"/>
        <v>0</v>
      </c>
      <c r="AD40" s="368">
        <f t="shared" si="11"/>
        <v>0</v>
      </c>
      <c r="AE40" s="375"/>
      <c r="AF40" s="368">
        <v>0</v>
      </c>
      <c r="AG40" s="375"/>
      <c r="AH40" s="376"/>
      <c r="AI40" s="375">
        <f t="shared" si="21"/>
        <v>11814.4</v>
      </c>
      <c r="AJ40" s="366"/>
      <c r="AK40" s="366">
        <v>5</v>
      </c>
      <c r="AL40" s="366">
        <v>5</v>
      </c>
      <c r="AM40" s="366">
        <v>5</v>
      </c>
      <c r="AN40" s="366"/>
      <c r="AO40" s="366">
        <v>5</v>
      </c>
      <c r="AP40" s="366">
        <f>3500+2130+3500</f>
        <v>9130</v>
      </c>
      <c r="AQ40" s="366">
        <v>1166</v>
      </c>
      <c r="AR40" s="366">
        <v>690</v>
      </c>
      <c r="AS40" s="366">
        <f>174+107+209</f>
        <v>490</v>
      </c>
      <c r="AT40" s="366">
        <f>286+143+286</f>
        <v>715</v>
      </c>
      <c r="AU40" s="366">
        <f t="shared" si="22"/>
        <v>19928</v>
      </c>
      <c r="AV40" s="366"/>
      <c r="AW40" s="366">
        <f>7246+5436+7246</f>
        <v>19928</v>
      </c>
      <c r="AX40" s="366">
        <f>1900+1900</f>
        <v>3800</v>
      </c>
      <c r="AY40" s="366">
        <f>164+143+163</f>
        <v>470</v>
      </c>
      <c r="AZ40" s="366">
        <f>699+562+692</f>
        <v>1953</v>
      </c>
      <c r="BA40" s="366">
        <f>699+562+692</f>
        <v>1953</v>
      </c>
      <c r="BB40" s="366">
        <f>34+17+34</f>
        <v>85</v>
      </c>
      <c r="BC40" s="366">
        <f>4+2+4</f>
        <v>10</v>
      </c>
      <c r="BD40" s="366">
        <f>188+160+257</f>
        <v>605</v>
      </c>
      <c r="BE40" s="366">
        <f>608+484+677</f>
        <v>1769</v>
      </c>
      <c r="BF40" s="366"/>
      <c r="BG40" s="366">
        <f>7600+3800+7600</f>
        <v>19000</v>
      </c>
      <c r="BH40" s="366">
        <f>3270+1635+3270</f>
        <v>8175</v>
      </c>
      <c r="BI40" s="366">
        <f>90+45+90</f>
        <v>225</v>
      </c>
      <c r="BJ40" s="366"/>
      <c r="BK40" s="366"/>
      <c r="BL40" s="366"/>
      <c r="BM40" s="366"/>
      <c r="BN40" s="366"/>
      <c r="BO40" s="366"/>
      <c r="BP40" s="366">
        <f>G40</f>
        <v>1</v>
      </c>
      <c r="BQ40" s="366">
        <f>R40</f>
        <v>11814.4</v>
      </c>
      <c r="BR40" s="366">
        <f>S40</f>
        <v>7222</v>
      </c>
      <c r="BS40" s="366"/>
      <c r="BT40" s="366">
        <v>4</v>
      </c>
      <c r="BU40" s="366"/>
      <c r="BV40" s="366"/>
      <c r="BW40" s="366"/>
      <c r="BX40" s="366">
        <v>2130</v>
      </c>
      <c r="BY40" s="377">
        <v>2696.2300000000005</v>
      </c>
      <c r="BZ40" s="377">
        <v>2047.4</v>
      </c>
      <c r="CA40" s="378">
        <v>4221</v>
      </c>
      <c r="CB40" s="378">
        <f t="shared" si="1"/>
        <v>2183</v>
      </c>
      <c r="CC40" s="379" t="str">
        <f t="shared" si="24"/>
        <v>0</v>
      </c>
      <c r="CD40" s="380">
        <f t="shared" si="3"/>
        <v>0</v>
      </c>
      <c r="CE40" s="379">
        <f t="shared" si="4"/>
        <v>1</v>
      </c>
      <c r="CF40" s="380">
        <f t="shared" si="5"/>
        <v>19928</v>
      </c>
      <c r="CG40" s="380">
        <f t="shared" si="13"/>
        <v>1</v>
      </c>
      <c r="CH40" s="380">
        <f t="shared" si="14"/>
        <v>19928</v>
      </c>
      <c r="CI40" s="356">
        <v>20</v>
      </c>
      <c r="CJ40" s="382" t="str">
        <f t="shared" si="15"/>
        <v>0</v>
      </c>
      <c r="CK40" s="382" t="str">
        <f t="shared" si="16"/>
        <v>0</v>
      </c>
      <c r="CL40" s="383">
        <f t="shared" si="17"/>
        <v>8.6995530877573124</v>
      </c>
      <c r="CM40" s="382" t="str">
        <f t="shared" si="18"/>
        <v>0</v>
      </c>
      <c r="CN40" s="382" t="str">
        <f t="shared" si="19"/>
        <v>0</v>
      </c>
      <c r="CO40" s="383">
        <f t="shared" si="20"/>
        <v>8.6995530877573124</v>
      </c>
      <c r="CP40" s="185">
        <v>1</v>
      </c>
      <c r="CQ40" s="185">
        <v>0</v>
      </c>
      <c r="CR40" s="185">
        <v>0</v>
      </c>
      <c r="CS40" s="185">
        <v>0</v>
      </c>
      <c r="CT40" s="185">
        <v>4</v>
      </c>
      <c r="CU40" s="185">
        <v>0</v>
      </c>
      <c r="CV40" s="185">
        <v>0</v>
      </c>
      <c r="CW40" s="185">
        <v>0</v>
      </c>
      <c r="CX40" s="185">
        <v>0</v>
      </c>
      <c r="CY40" s="188">
        <v>194</v>
      </c>
      <c r="CZ40" s="387">
        <v>178</v>
      </c>
      <c r="DA40" s="188">
        <v>16</v>
      </c>
      <c r="DB40" s="185">
        <v>168</v>
      </c>
      <c r="DC40" s="185">
        <v>111</v>
      </c>
      <c r="DD40" s="189">
        <v>283</v>
      </c>
      <c r="DE40" s="185">
        <v>144</v>
      </c>
      <c r="DF40" s="185">
        <v>111</v>
      </c>
      <c r="DG40" s="189">
        <v>283</v>
      </c>
      <c r="DH40" s="185">
        <v>145</v>
      </c>
      <c r="DI40" s="185">
        <v>14</v>
      </c>
      <c r="DJ40" s="185">
        <v>4</v>
      </c>
      <c r="DK40" s="188">
        <v>20</v>
      </c>
      <c r="DL40" s="185">
        <v>5</v>
      </c>
      <c r="DM40" s="185">
        <v>4</v>
      </c>
      <c r="DN40" s="188">
        <v>20</v>
      </c>
      <c r="DO40" s="185">
        <v>5</v>
      </c>
      <c r="DP40" s="184">
        <f t="shared" si="6"/>
        <v>194</v>
      </c>
      <c r="DQ40" s="185">
        <v>194</v>
      </c>
    </row>
    <row r="41" spans="1:122">
      <c r="A41" s="43" t="s">
        <v>96</v>
      </c>
      <c r="B41" s="361">
        <v>35</v>
      </c>
      <c r="C41" s="362" t="s">
        <v>117</v>
      </c>
      <c r="D41" s="363">
        <v>1987</v>
      </c>
      <c r="E41" s="364"/>
      <c r="F41" s="364" t="s">
        <v>109</v>
      </c>
      <c r="G41" s="365">
        <v>1</v>
      </c>
      <c r="H41" s="364">
        <v>12</v>
      </c>
      <c r="I41" s="364" t="s">
        <v>100</v>
      </c>
      <c r="J41" s="366">
        <f>26834+27061</f>
        <v>53895</v>
      </c>
      <c r="K41" s="366">
        <f>1358+1477</f>
        <v>2835</v>
      </c>
      <c r="L41" s="366"/>
      <c r="M41" s="366">
        <f>1269+1361</f>
        <v>2630</v>
      </c>
      <c r="N41" s="366">
        <v>132</v>
      </c>
      <c r="O41" s="366">
        <v>220</v>
      </c>
      <c r="P41" s="366">
        <v>135</v>
      </c>
      <c r="Q41" s="367">
        <v>209</v>
      </c>
      <c r="R41" s="368">
        <v>6466.5</v>
      </c>
      <c r="S41" s="369">
        <v>3480.2</v>
      </c>
      <c r="T41" s="367">
        <f t="shared" si="7"/>
        <v>119</v>
      </c>
      <c r="U41" s="371">
        <f t="shared" si="8"/>
        <v>5839.4</v>
      </c>
      <c r="V41" s="371">
        <f t="shared" si="9"/>
        <v>3143.9</v>
      </c>
      <c r="W41" s="372">
        <v>13</v>
      </c>
      <c r="X41" s="373">
        <v>627.1</v>
      </c>
      <c r="Y41" s="373">
        <v>336.29999999999973</v>
      </c>
      <c r="Z41" s="374"/>
      <c r="AA41" s="374"/>
      <c r="AB41" s="374"/>
      <c r="AC41" s="373">
        <f t="shared" si="10"/>
        <v>1377.5</v>
      </c>
      <c r="AD41" s="368">
        <f t="shared" si="11"/>
        <v>1377.5</v>
      </c>
      <c r="AE41" s="375"/>
      <c r="AF41" s="368">
        <v>1377.5</v>
      </c>
      <c r="AG41" s="375"/>
      <c r="AH41" s="376"/>
      <c r="AI41" s="375">
        <f t="shared" si="21"/>
        <v>7844</v>
      </c>
      <c r="AJ41" s="366"/>
      <c r="AK41" s="366">
        <f>2+2</f>
        <v>4</v>
      </c>
      <c r="AL41" s="366">
        <f>1+1</f>
        <v>2</v>
      </c>
      <c r="AM41" s="366">
        <f>1+1</f>
        <v>2</v>
      </c>
      <c r="AN41" s="366"/>
      <c r="AO41" s="366">
        <f>1+1</f>
        <v>2</v>
      </c>
      <c r="AP41" s="366">
        <f>5600+5600</f>
        <v>11200</v>
      </c>
      <c r="AQ41" s="366"/>
      <c r="AR41" s="366">
        <f>1120</f>
        <v>1120</v>
      </c>
      <c r="AS41" s="366">
        <f>256+256</f>
        <v>512</v>
      </c>
      <c r="AT41" s="366">
        <f>156+156</f>
        <v>312</v>
      </c>
      <c r="AU41" s="366">
        <f t="shared" ref="AU41" si="30">SUM(AV41+AW41)</f>
        <v>17584</v>
      </c>
      <c r="AV41" s="366"/>
      <c r="AW41" s="366">
        <f>8792+8792</f>
        <v>17584</v>
      </c>
      <c r="AX41" s="366"/>
      <c r="AY41" s="366">
        <f>154+153</f>
        <v>307</v>
      </c>
      <c r="AZ41" s="366">
        <f>1225+1223</f>
        <v>2448</v>
      </c>
      <c r="BA41" s="366">
        <f>1225+1223</f>
        <v>2448</v>
      </c>
      <c r="BB41" s="366"/>
      <c r="BC41" s="366">
        <f>2+2</f>
        <v>4</v>
      </c>
      <c r="BD41" s="366">
        <f>176+176</f>
        <v>352</v>
      </c>
      <c r="BE41" s="366">
        <f>572+574</f>
        <v>1146</v>
      </c>
      <c r="BF41" s="366"/>
      <c r="BG41" s="366">
        <f>7600+7600</f>
        <v>15200</v>
      </c>
      <c r="BH41" s="366">
        <f>3270+3270</f>
        <v>6540</v>
      </c>
      <c r="BI41" s="366">
        <f>120+120</f>
        <v>240</v>
      </c>
      <c r="BJ41" s="366">
        <f>G41</f>
        <v>1</v>
      </c>
      <c r="BK41" s="366">
        <f t="shared" ref="BK41:BL44" si="31">R41</f>
        <v>6466.5</v>
      </c>
      <c r="BL41" s="366">
        <f t="shared" si="31"/>
        <v>3480.2</v>
      </c>
      <c r="BM41" s="366"/>
      <c r="BN41" s="366"/>
      <c r="BO41" s="366"/>
      <c r="BP41" s="366"/>
      <c r="BQ41" s="366"/>
      <c r="BR41" s="366"/>
      <c r="BS41" s="366"/>
      <c r="BT41" s="366">
        <v>3</v>
      </c>
      <c r="BU41" s="366">
        <f>BA41</f>
        <v>2448</v>
      </c>
      <c r="BV41" s="366">
        <v>10480</v>
      </c>
      <c r="BW41" s="366"/>
      <c r="BX41" s="366">
        <f>AP41</f>
        <v>11200</v>
      </c>
      <c r="BY41" s="377">
        <v>2589.7999999999997</v>
      </c>
      <c r="BZ41" s="377">
        <v>2084.4</v>
      </c>
      <c r="CA41" s="378">
        <v>6817</v>
      </c>
      <c r="CB41" s="378">
        <f t="shared" si="1"/>
        <v>3982</v>
      </c>
      <c r="CC41" s="379" t="str">
        <f t="shared" si="24"/>
        <v>0</v>
      </c>
      <c r="CD41" s="380">
        <f t="shared" si="3"/>
        <v>0</v>
      </c>
      <c r="CE41" s="379">
        <f t="shared" si="4"/>
        <v>1</v>
      </c>
      <c r="CF41" s="380">
        <f t="shared" si="5"/>
        <v>17584</v>
      </c>
      <c r="CG41" s="380">
        <f t="shared" si="13"/>
        <v>1</v>
      </c>
      <c r="CH41" s="380">
        <f t="shared" si="14"/>
        <v>17584</v>
      </c>
      <c r="CI41" s="356">
        <v>31</v>
      </c>
      <c r="CJ41" s="382" t="str">
        <f t="shared" si="15"/>
        <v>0</v>
      </c>
      <c r="CK41" s="382" t="str">
        <f t="shared" si="16"/>
        <v>0</v>
      </c>
      <c r="CL41" s="383">
        <f t="shared" si="17"/>
        <v>9.6976726204283619</v>
      </c>
      <c r="CM41" s="382" t="str">
        <f t="shared" si="18"/>
        <v>0</v>
      </c>
      <c r="CN41" s="382" t="str">
        <f t="shared" si="19"/>
        <v>0</v>
      </c>
      <c r="CO41" s="383">
        <f t="shared" si="20"/>
        <v>25.55583885772565</v>
      </c>
      <c r="CP41" s="185">
        <v>1</v>
      </c>
      <c r="CQ41" s="185">
        <v>0</v>
      </c>
      <c r="CR41" s="185">
        <v>0</v>
      </c>
      <c r="CS41" s="185">
        <v>0</v>
      </c>
      <c r="CT41" s="185">
        <v>4</v>
      </c>
      <c r="CU41" s="185">
        <v>0</v>
      </c>
      <c r="CV41" s="185">
        <v>0</v>
      </c>
      <c r="CW41" s="185">
        <v>0</v>
      </c>
      <c r="CX41" s="185">
        <v>0</v>
      </c>
      <c r="CY41" s="188">
        <v>132</v>
      </c>
      <c r="CZ41" s="387">
        <v>124</v>
      </c>
      <c r="DA41" s="188">
        <v>8</v>
      </c>
      <c r="DB41" s="185">
        <v>121</v>
      </c>
      <c r="DC41" s="185">
        <v>64</v>
      </c>
      <c r="DD41" s="189">
        <v>127</v>
      </c>
      <c r="DE41" s="185">
        <v>66</v>
      </c>
      <c r="DF41" s="185">
        <v>64</v>
      </c>
      <c r="DG41" s="189">
        <v>127</v>
      </c>
      <c r="DH41" s="185">
        <v>66</v>
      </c>
      <c r="DI41" s="185">
        <v>6</v>
      </c>
      <c r="DJ41" s="185">
        <v>2</v>
      </c>
      <c r="DK41" s="188">
        <v>8</v>
      </c>
      <c r="DL41" s="185">
        <v>2</v>
      </c>
      <c r="DM41" s="185">
        <v>2</v>
      </c>
      <c r="DN41" s="188">
        <v>8</v>
      </c>
      <c r="DO41" s="185">
        <v>2</v>
      </c>
      <c r="DP41" s="184">
        <f t="shared" si="6"/>
        <v>132</v>
      </c>
      <c r="DQ41" s="185">
        <v>132</v>
      </c>
    </row>
    <row r="42" spans="1:122">
      <c r="A42" s="43" t="s">
        <v>96</v>
      </c>
      <c r="B42" s="361">
        <v>36</v>
      </c>
      <c r="C42" s="362" t="s">
        <v>93</v>
      </c>
      <c r="D42" s="363">
        <v>1956</v>
      </c>
      <c r="E42" s="364"/>
      <c r="F42" s="364" t="s">
        <v>29</v>
      </c>
      <c r="G42" s="365">
        <v>1</v>
      </c>
      <c r="H42" s="364">
        <v>4</v>
      </c>
      <c r="I42" s="364" t="s">
        <v>100</v>
      </c>
      <c r="J42" s="366">
        <v>22481</v>
      </c>
      <c r="K42" s="366">
        <v>1728</v>
      </c>
      <c r="L42" s="366">
        <v>2038</v>
      </c>
      <c r="M42" s="366"/>
      <c r="N42" s="366">
        <v>50</v>
      </c>
      <c r="O42" s="366">
        <v>135</v>
      </c>
      <c r="P42" s="366">
        <v>55</v>
      </c>
      <c r="Q42" s="367">
        <v>120</v>
      </c>
      <c r="R42" s="368">
        <v>3787.4</v>
      </c>
      <c r="S42" s="392">
        <v>2279.1</v>
      </c>
      <c r="T42" s="367">
        <f t="shared" si="7"/>
        <v>48</v>
      </c>
      <c r="U42" s="371">
        <f t="shared" si="8"/>
        <v>3663.5</v>
      </c>
      <c r="V42" s="371">
        <f t="shared" si="9"/>
        <v>2209.4</v>
      </c>
      <c r="W42" s="372">
        <v>2</v>
      </c>
      <c r="X42" s="373">
        <v>123.9</v>
      </c>
      <c r="Y42" s="373">
        <v>69.7</v>
      </c>
      <c r="Z42" s="374"/>
      <c r="AA42" s="374"/>
      <c r="AB42" s="374"/>
      <c r="AC42" s="373">
        <f t="shared" si="10"/>
        <v>1048.9000000000001</v>
      </c>
      <c r="AD42" s="368">
        <f t="shared" si="11"/>
        <v>335.20000000000005</v>
      </c>
      <c r="AE42" s="375"/>
      <c r="AF42" s="368">
        <f>313.6+21.6</f>
        <v>335.20000000000005</v>
      </c>
      <c r="AG42" s="375">
        <f>735.3-21.6</f>
        <v>713.69999999999993</v>
      </c>
      <c r="AH42" s="376"/>
      <c r="AI42" s="375">
        <f t="shared" si="21"/>
        <v>4836.3</v>
      </c>
      <c r="AJ42" s="366"/>
      <c r="AK42" s="366"/>
      <c r="AL42" s="366">
        <v>4</v>
      </c>
      <c r="AM42" s="366"/>
      <c r="AN42" s="366"/>
      <c r="AO42" s="366">
        <v>1</v>
      </c>
      <c r="AP42" s="366">
        <v>3999</v>
      </c>
      <c r="AQ42" s="366">
        <v>585</v>
      </c>
      <c r="AR42" s="366">
        <v>695</v>
      </c>
      <c r="AS42" s="366">
        <v>254</v>
      </c>
      <c r="AT42" s="366">
        <v>120</v>
      </c>
      <c r="AU42" s="366">
        <f>SUM(AV42+AW42)</f>
        <v>3380</v>
      </c>
      <c r="AV42" s="366"/>
      <c r="AW42" s="366">
        <v>3380</v>
      </c>
      <c r="AX42" s="366"/>
      <c r="AY42" s="366">
        <v>103</v>
      </c>
      <c r="AZ42" s="366">
        <v>1703</v>
      </c>
      <c r="BA42" s="366">
        <v>1703</v>
      </c>
      <c r="BB42" s="366">
        <v>16</v>
      </c>
      <c r="BC42" s="366">
        <v>12</v>
      </c>
      <c r="BD42" s="366">
        <v>210</v>
      </c>
      <c r="BE42" s="366">
        <v>507</v>
      </c>
      <c r="BF42" s="366"/>
      <c r="BG42" s="366">
        <v>4057</v>
      </c>
      <c r="BH42" s="366">
        <v>120</v>
      </c>
      <c r="BI42" s="366"/>
      <c r="BJ42" s="366">
        <f>G42</f>
        <v>1</v>
      </c>
      <c r="BK42" s="366">
        <f t="shared" si="31"/>
        <v>3787.4</v>
      </c>
      <c r="BL42" s="366">
        <f t="shared" si="31"/>
        <v>2279.1</v>
      </c>
      <c r="BM42" s="366"/>
      <c r="BN42" s="366"/>
      <c r="BO42" s="366"/>
      <c r="BP42" s="366"/>
      <c r="BQ42" s="366"/>
      <c r="BR42" s="366"/>
      <c r="BS42" s="366"/>
      <c r="BT42" s="366">
        <v>2</v>
      </c>
      <c r="BU42" s="366">
        <f>BA42</f>
        <v>1703</v>
      </c>
      <c r="BV42" s="366">
        <v>4270</v>
      </c>
      <c r="BW42" s="366"/>
      <c r="BX42" s="366">
        <f>AP42</f>
        <v>3999</v>
      </c>
      <c r="BY42" s="377">
        <v>450.7</v>
      </c>
      <c r="BZ42" s="377">
        <v>412.3</v>
      </c>
      <c r="CA42" s="378">
        <v>3344</v>
      </c>
      <c r="CB42" s="378">
        <f t="shared" si="1"/>
        <v>1616</v>
      </c>
      <c r="CC42" s="379" t="str">
        <f t="shared" si="24"/>
        <v>0</v>
      </c>
      <c r="CD42" s="380">
        <f t="shared" si="3"/>
        <v>0</v>
      </c>
      <c r="CE42" s="379">
        <f t="shared" si="4"/>
        <v>1</v>
      </c>
      <c r="CF42" s="380">
        <f t="shared" si="5"/>
        <v>3380</v>
      </c>
      <c r="CG42" s="380">
        <f t="shared" si="13"/>
        <v>1</v>
      </c>
      <c r="CH42" s="380">
        <f t="shared" si="14"/>
        <v>3380</v>
      </c>
      <c r="CI42" s="356">
        <v>35</v>
      </c>
      <c r="CJ42" s="382" t="str">
        <f t="shared" si="15"/>
        <v>0</v>
      </c>
      <c r="CK42" s="382" t="str">
        <f t="shared" si="16"/>
        <v>0</v>
      </c>
      <c r="CL42" s="383">
        <f t="shared" si="17"/>
        <v>3.2713735016106034</v>
      </c>
      <c r="CM42" s="382" t="str">
        <f t="shared" si="18"/>
        <v>0</v>
      </c>
      <c r="CN42" s="382" t="str">
        <f t="shared" si="19"/>
        <v>0</v>
      </c>
      <c r="CO42" s="383">
        <f t="shared" si="20"/>
        <v>9.4927940781175693</v>
      </c>
      <c r="CP42" s="185">
        <v>1</v>
      </c>
      <c r="CQ42" s="185">
        <v>0</v>
      </c>
      <c r="CR42" s="185">
        <v>0</v>
      </c>
      <c r="CS42" s="185">
        <v>0</v>
      </c>
      <c r="CT42" s="185">
        <v>2</v>
      </c>
      <c r="CU42" s="185">
        <v>0</v>
      </c>
      <c r="CV42" s="185">
        <v>0</v>
      </c>
      <c r="CW42" s="185">
        <v>0</v>
      </c>
      <c r="CX42" s="185">
        <v>0</v>
      </c>
      <c r="CY42" s="188">
        <v>50</v>
      </c>
      <c r="CZ42" s="387">
        <v>48</v>
      </c>
      <c r="DA42" s="188">
        <v>2</v>
      </c>
      <c r="DB42" s="185">
        <v>45</v>
      </c>
      <c r="DC42" s="185">
        <v>20</v>
      </c>
      <c r="DD42" s="185">
        <v>79</v>
      </c>
      <c r="DE42" s="185">
        <v>23</v>
      </c>
      <c r="DF42" s="185">
        <v>20</v>
      </c>
      <c r="DG42" s="185">
        <v>79</v>
      </c>
      <c r="DH42" s="185">
        <v>24</v>
      </c>
      <c r="DI42" s="185">
        <v>2</v>
      </c>
      <c r="DJ42" s="185">
        <v>0</v>
      </c>
      <c r="DK42" s="188">
        <v>2</v>
      </c>
      <c r="DL42" s="185">
        <v>0</v>
      </c>
      <c r="DM42" s="185">
        <v>0</v>
      </c>
      <c r="DN42" s="188">
        <v>2</v>
      </c>
      <c r="DO42" s="185">
        <v>0</v>
      </c>
      <c r="DP42" s="184">
        <f t="shared" si="6"/>
        <v>50</v>
      </c>
      <c r="DQ42" s="185">
        <v>20</v>
      </c>
    </row>
    <row r="43" spans="1:122">
      <c r="A43" s="43" t="s">
        <v>96</v>
      </c>
      <c r="B43" s="361">
        <v>37</v>
      </c>
      <c r="C43" s="362" t="s">
        <v>94</v>
      </c>
      <c r="D43" s="363">
        <v>1956</v>
      </c>
      <c r="E43" s="364"/>
      <c r="F43" s="364" t="s">
        <v>29</v>
      </c>
      <c r="G43" s="365">
        <v>1</v>
      </c>
      <c r="H43" s="364">
        <v>5</v>
      </c>
      <c r="I43" s="364" t="s">
        <v>100</v>
      </c>
      <c r="J43" s="366">
        <v>12249</v>
      </c>
      <c r="K43" s="366">
        <v>740</v>
      </c>
      <c r="L43" s="366">
        <v>1872</v>
      </c>
      <c r="M43" s="366"/>
      <c r="N43" s="366">
        <v>38</v>
      </c>
      <c r="O43" s="366">
        <v>94</v>
      </c>
      <c r="P43" s="366">
        <v>41</v>
      </c>
      <c r="Q43" s="367">
        <v>80</v>
      </c>
      <c r="R43" s="368">
        <v>2410.6999999999998</v>
      </c>
      <c r="S43" s="369">
        <v>1483.1</v>
      </c>
      <c r="T43" s="367">
        <f t="shared" si="7"/>
        <v>35</v>
      </c>
      <c r="U43" s="371">
        <f t="shared" si="8"/>
        <v>2227.6</v>
      </c>
      <c r="V43" s="371">
        <f t="shared" si="9"/>
        <v>1373.6000000000001</v>
      </c>
      <c r="W43" s="372">
        <v>3</v>
      </c>
      <c r="X43" s="373">
        <v>183.1</v>
      </c>
      <c r="Y43" s="373">
        <v>109.49999999999977</v>
      </c>
      <c r="Z43" s="374"/>
      <c r="AA43" s="374"/>
      <c r="AB43" s="374"/>
      <c r="AC43" s="373">
        <f t="shared" si="10"/>
        <v>113</v>
      </c>
      <c r="AD43" s="368">
        <f t="shared" si="11"/>
        <v>0</v>
      </c>
      <c r="AE43" s="375"/>
      <c r="AF43" s="368">
        <v>0</v>
      </c>
      <c r="AG43" s="375">
        <v>113</v>
      </c>
      <c r="AH43" s="376"/>
      <c r="AI43" s="375">
        <f t="shared" si="21"/>
        <v>2523.6999999999998</v>
      </c>
      <c r="AJ43" s="366"/>
      <c r="AK43" s="366"/>
      <c r="AL43" s="366">
        <v>2</v>
      </c>
      <c r="AM43" s="366"/>
      <c r="AN43" s="366"/>
      <c r="AO43" s="366">
        <v>1</v>
      </c>
      <c r="AP43" s="366">
        <v>2180</v>
      </c>
      <c r="AQ43" s="366">
        <v>585</v>
      </c>
      <c r="AR43" s="366">
        <v>145</v>
      </c>
      <c r="AS43" s="366">
        <v>320</v>
      </c>
      <c r="AT43" s="366">
        <v>60</v>
      </c>
      <c r="AU43" s="366">
        <f>SUM(AV43+AW43)</f>
        <v>1986</v>
      </c>
      <c r="AV43" s="366"/>
      <c r="AW43" s="366">
        <v>1986</v>
      </c>
      <c r="AX43" s="366"/>
      <c r="AY43" s="366">
        <v>50</v>
      </c>
      <c r="AZ43" s="366">
        <v>738</v>
      </c>
      <c r="BA43" s="366">
        <v>738</v>
      </c>
      <c r="BB43" s="366">
        <v>10</v>
      </c>
      <c r="BC43" s="366">
        <v>4</v>
      </c>
      <c r="BD43" s="366">
        <v>103</v>
      </c>
      <c r="BE43" s="366">
        <v>379</v>
      </c>
      <c r="BF43" s="366"/>
      <c r="BG43" s="366">
        <v>2862</v>
      </c>
      <c r="BH43" s="366">
        <v>76</v>
      </c>
      <c r="BI43" s="366"/>
      <c r="BJ43" s="366">
        <f>G43</f>
        <v>1</v>
      </c>
      <c r="BK43" s="366">
        <f t="shared" si="31"/>
        <v>2410.6999999999998</v>
      </c>
      <c r="BL43" s="366">
        <f t="shared" si="31"/>
        <v>1483.1</v>
      </c>
      <c r="BM43" s="366"/>
      <c r="BN43" s="366"/>
      <c r="BO43" s="366"/>
      <c r="BP43" s="366"/>
      <c r="BQ43" s="366"/>
      <c r="BR43" s="366"/>
      <c r="BS43" s="366"/>
      <c r="BT43" s="366">
        <v>1</v>
      </c>
      <c r="BU43" s="366">
        <f>BA43</f>
        <v>738</v>
      </c>
      <c r="BV43" s="366">
        <v>2610</v>
      </c>
      <c r="BW43" s="366"/>
      <c r="BX43" s="366">
        <f>AP43</f>
        <v>2180</v>
      </c>
      <c r="BY43" s="377">
        <v>240.20000000000005</v>
      </c>
      <c r="BZ43" s="377">
        <v>226.4</v>
      </c>
      <c r="CA43" s="378">
        <v>2141</v>
      </c>
      <c r="CB43" s="378">
        <f t="shared" si="1"/>
        <v>1401</v>
      </c>
      <c r="CC43" s="379" t="str">
        <f t="shared" si="24"/>
        <v>0</v>
      </c>
      <c r="CD43" s="380">
        <f t="shared" si="3"/>
        <v>0</v>
      </c>
      <c r="CE43" s="379">
        <f t="shared" si="4"/>
        <v>1</v>
      </c>
      <c r="CF43" s="380">
        <f t="shared" si="5"/>
        <v>1986</v>
      </c>
      <c r="CG43" s="380">
        <f t="shared" si="13"/>
        <v>1</v>
      </c>
      <c r="CH43" s="380">
        <f t="shared" si="14"/>
        <v>1986</v>
      </c>
      <c r="CI43" s="356">
        <v>49</v>
      </c>
      <c r="CJ43" s="382" t="str">
        <f t="shared" si="15"/>
        <v>0</v>
      </c>
      <c r="CK43" s="382" t="str">
        <f t="shared" si="16"/>
        <v>0</v>
      </c>
      <c r="CL43" s="383">
        <f t="shared" si="17"/>
        <v>7.5953042684697394</v>
      </c>
      <c r="CM43" s="382" t="str">
        <f t="shared" si="18"/>
        <v>0</v>
      </c>
      <c r="CN43" s="382" t="str">
        <f t="shared" si="19"/>
        <v>0</v>
      </c>
      <c r="CO43" s="383">
        <f t="shared" si="20"/>
        <v>7.2552205095692841</v>
      </c>
      <c r="CP43" s="185">
        <v>1</v>
      </c>
      <c r="CQ43" s="185">
        <v>0</v>
      </c>
      <c r="CR43" s="185">
        <v>0</v>
      </c>
      <c r="CS43" s="185">
        <v>0</v>
      </c>
      <c r="CT43" s="185">
        <v>1</v>
      </c>
      <c r="CU43" s="185">
        <v>0</v>
      </c>
      <c r="CV43" s="185">
        <v>0</v>
      </c>
      <c r="CW43" s="185">
        <v>0</v>
      </c>
      <c r="CX43" s="185">
        <v>0</v>
      </c>
      <c r="CY43" s="188">
        <v>38</v>
      </c>
      <c r="CZ43" s="387">
        <v>35</v>
      </c>
      <c r="DA43" s="188">
        <v>3</v>
      </c>
      <c r="DB43" s="185">
        <v>35</v>
      </c>
      <c r="DC43" s="185">
        <v>14</v>
      </c>
      <c r="DD43" s="185">
        <v>58</v>
      </c>
      <c r="DE43" s="185">
        <v>14</v>
      </c>
      <c r="DF43" s="185">
        <v>14</v>
      </c>
      <c r="DG43" s="185">
        <v>58</v>
      </c>
      <c r="DH43" s="185">
        <v>14</v>
      </c>
      <c r="DI43" s="185">
        <v>3</v>
      </c>
      <c r="DJ43" s="185">
        <v>0</v>
      </c>
      <c r="DK43" s="188">
        <v>3</v>
      </c>
      <c r="DL43" s="185">
        <v>0</v>
      </c>
      <c r="DM43" s="185">
        <v>0</v>
      </c>
      <c r="DN43" s="188">
        <v>3</v>
      </c>
      <c r="DO43" s="185">
        <v>0</v>
      </c>
      <c r="DP43" s="184">
        <f t="shared" si="6"/>
        <v>38</v>
      </c>
      <c r="DQ43" s="185">
        <v>21</v>
      </c>
    </row>
    <row r="44" spans="1:122">
      <c r="A44" s="43" t="s">
        <v>96</v>
      </c>
      <c r="B44" s="361">
        <v>38</v>
      </c>
      <c r="C44" s="362" t="s">
        <v>67</v>
      </c>
      <c r="D44" s="363">
        <v>1955</v>
      </c>
      <c r="E44" s="364"/>
      <c r="F44" s="364" t="s">
        <v>29</v>
      </c>
      <c r="G44" s="365">
        <v>1</v>
      </c>
      <c r="H44" s="364">
        <v>4</v>
      </c>
      <c r="I44" s="364" t="s">
        <v>100</v>
      </c>
      <c r="J44" s="366">
        <v>22319</v>
      </c>
      <c r="K44" s="366">
        <v>1743</v>
      </c>
      <c r="L44" s="366">
        <v>2090</v>
      </c>
      <c r="M44" s="366"/>
      <c r="N44" s="366">
        <v>52</v>
      </c>
      <c r="O44" s="366">
        <v>145</v>
      </c>
      <c r="P44" s="366">
        <v>56</v>
      </c>
      <c r="Q44" s="367">
        <v>119</v>
      </c>
      <c r="R44" s="368">
        <v>4028.44</v>
      </c>
      <c r="S44" s="369">
        <v>2531.62</v>
      </c>
      <c r="T44" s="367">
        <f t="shared" si="7"/>
        <v>46</v>
      </c>
      <c r="U44" s="371">
        <f t="shared" si="8"/>
        <v>3514.38</v>
      </c>
      <c r="V44" s="371">
        <f t="shared" si="9"/>
        <v>2203.02</v>
      </c>
      <c r="W44" s="372">
        <v>6</v>
      </c>
      <c r="X44" s="373">
        <v>514.05999999999995</v>
      </c>
      <c r="Y44" s="373">
        <v>328.59999999999991</v>
      </c>
      <c r="Z44" s="374"/>
      <c r="AA44" s="374"/>
      <c r="AB44" s="374"/>
      <c r="AC44" s="373">
        <f t="shared" si="10"/>
        <v>883</v>
      </c>
      <c r="AD44" s="368">
        <f t="shared" si="11"/>
        <v>883</v>
      </c>
      <c r="AE44" s="375"/>
      <c r="AF44" s="368">
        <v>883</v>
      </c>
      <c r="AG44" s="375"/>
      <c r="AH44" s="376"/>
      <c r="AI44" s="375">
        <f t="shared" si="21"/>
        <v>4911.4400000000005</v>
      </c>
      <c r="AJ44" s="366"/>
      <c r="AK44" s="366"/>
      <c r="AL44" s="366">
        <v>4</v>
      </c>
      <c r="AM44" s="366"/>
      <c r="AN44" s="366"/>
      <c r="AO44" s="366">
        <v>1</v>
      </c>
      <c r="AP44" s="366">
        <v>3900</v>
      </c>
      <c r="AQ44" s="366">
        <v>585</v>
      </c>
      <c r="AR44" s="366">
        <v>725</v>
      </c>
      <c r="AS44" s="366">
        <v>380</v>
      </c>
      <c r="AT44" s="366">
        <v>120</v>
      </c>
      <c r="AU44" s="366">
        <f>SUM(AV44+AW44)</f>
        <v>3380</v>
      </c>
      <c r="AV44" s="366"/>
      <c r="AW44" s="366">
        <v>3380</v>
      </c>
      <c r="AX44" s="366"/>
      <c r="AY44" s="366">
        <v>107</v>
      </c>
      <c r="AZ44" s="366">
        <v>1691</v>
      </c>
      <c r="BA44" s="366">
        <v>1691</v>
      </c>
      <c r="BB44" s="366">
        <v>20</v>
      </c>
      <c r="BC44" s="366">
        <v>8</v>
      </c>
      <c r="BD44" s="366">
        <v>191</v>
      </c>
      <c r="BE44" s="366">
        <v>497</v>
      </c>
      <c r="BF44" s="366"/>
      <c r="BG44" s="366">
        <v>2616</v>
      </c>
      <c r="BH44" s="366">
        <v>76</v>
      </c>
      <c r="BI44" s="366"/>
      <c r="BJ44" s="366">
        <f>G44</f>
        <v>1</v>
      </c>
      <c r="BK44" s="366">
        <f t="shared" si="31"/>
        <v>4028.44</v>
      </c>
      <c r="BL44" s="366">
        <f t="shared" si="31"/>
        <v>2531.62</v>
      </c>
      <c r="BM44" s="366"/>
      <c r="BN44" s="366"/>
      <c r="BO44" s="366"/>
      <c r="BP44" s="366"/>
      <c r="BQ44" s="366"/>
      <c r="BR44" s="366"/>
      <c r="BS44" s="366"/>
      <c r="BT44" s="366">
        <v>6</v>
      </c>
      <c r="BU44" s="366">
        <f>BA44</f>
        <v>1691</v>
      </c>
      <c r="BV44" s="366">
        <v>4190</v>
      </c>
      <c r="BW44" s="366"/>
      <c r="BX44" s="366">
        <f>AP44</f>
        <v>3900</v>
      </c>
      <c r="BY44" s="377">
        <v>450.86</v>
      </c>
      <c r="BZ44" s="377">
        <v>450.86</v>
      </c>
      <c r="CA44" s="378">
        <v>3565</v>
      </c>
      <c r="CB44" s="378">
        <f t="shared" si="1"/>
        <v>1822</v>
      </c>
      <c r="CC44" s="379" t="str">
        <f t="shared" si="24"/>
        <v>0</v>
      </c>
      <c r="CD44" s="380">
        <f t="shared" si="3"/>
        <v>0</v>
      </c>
      <c r="CE44" s="379">
        <f t="shared" si="4"/>
        <v>1</v>
      </c>
      <c r="CF44" s="380">
        <f t="shared" si="5"/>
        <v>3380</v>
      </c>
      <c r="CG44" s="380">
        <f t="shared" si="13"/>
        <v>1</v>
      </c>
      <c r="CH44" s="380">
        <f t="shared" si="14"/>
        <v>3380</v>
      </c>
      <c r="CI44" s="356">
        <v>33</v>
      </c>
      <c r="CJ44" s="382" t="str">
        <f t="shared" si="15"/>
        <v>0</v>
      </c>
      <c r="CK44" s="382" t="str">
        <f t="shared" si="16"/>
        <v>0</v>
      </c>
      <c r="CL44" s="383">
        <f t="shared" si="17"/>
        <v>12.760770918767561</v>
      </c>
      <c r="CM44" s="382" t="str">
        <f t="shared" si="18"/>
        <v>0</v>
      </c>
      <c r="CN44" s="382" t="str">
        <f t="shared" si="19"/>
        <v>0</v>
      </c>
      <c r="CO44" s="383">
        <f t="shared" si="20"/>
        <v>28.445018161679663</v>
      </c>
      <c r="CP44" s="185">
        <v>1</v>
      </c>
      <c r="CQ44" s="185">
        <v>0</v>
      </c>
      <c r="CR44" s="185">
        <v>0</v>
      </c>
      <c r="CS44" s="185">
        <v>0</v>
      </c>
      <c r="CT44" s="185">
        <v>2</v>
      </c>
      <c r="CU44" s="185">
        <v>0</v>
      </c>
      <c r="CV44" s="185">
        <v>0</v>
      </c>
      <c r="CW44" s="185">
        <v>0</v>
      </c>
      <c r="CX44" s="185">
        <v>0</v>
      </c>
      <c r="CY44" s="188">
        <v>52</v>
      </c>
      <c r="CZ44" s="387">
        <v>49</v>
      </c>
      <c r="DA44" s="188">
        <v>3</v>
      </c>
      <c r="DB44" s="185">
        <v>44</v>
      </c>
      <c r="DC44" s="185">
        <v>15</v>
      </c>
      <c r="DD44" s="185">
        <v>76</v>
      </c>
      <c r="DE44" s="185">
        <v>16</v>
      </c>
      <c r="DF44" s="185">
        <v>15</v>
      </c>
      <c r="DG44" s="185">
        <v>76</v>
      </c>
      <c r="DH44" s="185">
        <v>18</v>
      </c>
      <c r="DI44" s="185">
        <v>3</v>
      </c>
      <c r="DJ44" s="185">
        <v>0</v>
      </c>
      <c r="DK44" s="188">
        <v>3</v>
      </c>
      <c r="DL44" s="185">
        <v>0</v>
      </c>
      <c r="DM44" s="185">
        <v>0</v>
      </c>
      <c r="DN44" s="188">
        <v>3</v>
      </c>
      <c r="DO44" s="185">
        <v>0</v>
      </c>
      <c r="DP44" s="184">
        <f t="shared" si="6"/>
        <v>52</v>
      </c>
      <c r="DQ44" s="185">
        <v>19</v>
      </c>
    </row>
    <row r="45" spans="1:122" s="77" customFormat="1">
      <c r="A45" s="65" t="s">
        <v>97</v>
      </c>
      <c r="B45" s="361">
        <v>39</v>
      </c>
      <c r="C45" s="393" t="s">
        <v>130</v>
      </c>
      <c r="D45" s="394">
        <v>1975</v>
      </c>
      <c r="E45" s="395"/>
      <c r="F45" s="396" t="s">
        <v>107</v>
      </c>
      <c r="G45" s="382">
        <v>1</v>
      </c>
      <c r="H45" s="395">
        <v>9</v>
      </c>
      <c r="I45" s="395" t="s">
        <v>99</v>
      </c>
      <c r="J45" s="372">
        <v>28825</v>
      </c>
      <c r="K45" s="372">
        <v>1202</v>
      </c>
      <c r="L45" s="372">
        <v>1396</v>
      </c>
      <c r="M45" s="372"/>
      <c r="N45" s="372">
        <f>343+2+2+1</f>
        <v>348</v>
      </c>
      <c r="O45" s="372">
        <f>343+2+2+1</f>
        <v>348</v>
      </c>
      <c r="P45" s="372">
        <v>342</v>
      </c>
      <c r="Q45" s="372">
        <v>482</v>
      </c>
      <c r="R45" s="397">
        <f>6487.1+37.6+16.4+21.5+21.6</f>
        <v>6584.2000000000007</v>
      </c>
      <c r="S45" s="398">
        <f>4710.6+11.1+16.3+16.4</f>
        <v>4754.4000000000005</v>
      </c>
      <c r="T45" s="372">
        <f t="shared" si="7"/>
        <v>153</v>
      </c>
      <c r="U45" s="399">
        <f t="shared" si="8"/>
        <v>2969.2000000000007</v>
      </c>
      <c r="V45" s="399">
        <f t="shared" si="9"/>
        <v>2161.0000000000005</v>
      </c>
      <c r="W45" s="372">
        <v>195</v>
      </c>
      <c r="X45" s="373">
        <v>3615</v>
      </c>
      <c r="Y45" s="373">
        <v>2593.4</v>
      </c>
      <c r="Z45" s="374"/>
      <c r="AA45" s="374"/>
      <c r="AB45" s="374"/>
      <c r="AC45" s="373">
        <f t="shared" si="10"/>
        <v>0</v>
      </c>
      <c r="AD45" s="397">
        <f t="shared" si="11"/>
        <v>0</v>
      </c>
      <c r="AE45" s="373"/>
      <c r="AF45" s="397">
        <f>113.78-16.68-37.6-16.4-21.5-21.6</f>
        <v>0</v>
      </c>
      <c r="AG45" s="373"/>
      <c r="AH45" s="374"/>
      <c r="AI45" s="375">
        <f t="shared" si="21"/>
        <v>6584.2000000000007</v>
      </c>
      <c r="AJ45" s="372"/>
      <c r="AK45" s="372">
        <v>2</v>
      </c>
      <c r="AL45" s="372">
        <v>2</v>
      </c>
      <c r="AM45" s="372">
        <v>1</v>
      </c>
      <c r="AN45" s="372"/>
      <c r="AO45" s="372">
        <v>1</v>
      </c>
      <c r="AP45" s="372">
        <v>4526</v>
      </c>
      <c r="AQ45" s="372"/>
      <c r="AR45" s="372">
        <v>390</v>
      </c>
      <c r="AS45" s="372">
        <v>274</v>
      </c>
      <c r="AT45" s="372">
        <v>76</v>
      </c>
      <c r="AU45" s="372">
        <v>7263</v>
      </c>
      <c r="AV45" s="372"/>
      <c r="AW45" s="372">
        <v>7263</v>
      </c>
      <c r="AX45" s="372">
        <v>3265</v>
      </c>
      <c r="AY45" s="372">
        <v>228</v>
      </c>
      <c r="AZ45" s="372">
        <v>1164</v>
      </c>
      <c r="BA45" s="372">
        <v>1164</v>
      </c>
      <c r="BB45" s="372">
        <v>34</v>
      </c>
      <c r="BC45" s="372">
        <v>54</v>
      </c>
      <c r="BD45" s="372">
        <v>378</v>
      </c>
      <c r="BE45" s="372">
        <v>1097</v>
      </c>
      <c r="BF45" s="372">
        <v>1</v>
      </c>
      <c r="BG45" s="372">
        <v>17000</v>
      </c>
      <c r="BH45" s="372">
        <v>710</v>
      </c>
      <c r="BI45" s="372">
        <v>200</v>
      </c>
      <c r="BJ45" s="372"/>
      <c r="BK45" s="372"/>
      <c r="BL45" s="372"/>
      <c r="BM45" s="366">
        <f t="shared" ref="BM45:BM47" si="32">G45</f>
        <v>1</v>
      </c>
      <c r="BN45" s="366">
        <f t="shared" ref="BN45:BN47" si="33">R45</f>
        <v>6584.2000000000007</v>
      </c>
      <c r="BO45" s="366">
        <f t="shared" ref="BO45:BO47" si="34">S45</f>
        <v>4754.4000000000005</v>
      </c>
      <c r="BP45" s="366"/>
      <c r="BQ45" s="366"/>
      <c r="BR45" s="366"/>
      <c r="BS45" s="372"/>
      <c r="BT45" s="372"/>
      <c r="BU45" s="372"/>
      <c r="BV45" s="372"/>
      <c r="BW45" s="372"/>
      <c r="BX45" s="366"/>
      <c r="BY45" s="377">
        <v>1816.4</v>
      </c>
      <c r="BZ45" s="377">
        <v>1816.4</v>
      </c>
      <c r="CA45" s="378">
        <v>3170</v>
      </c>
      <c r="CB45" s="378">
        <f t="shared" si="1"/>
        <v>1968</v>
      </c>
      <c r="CC45" s="379" t="str">
        <f t="shared" si="24"/>
        <v>0</v>
      </c>
      <c r="CD45" s="380">
        <f t="shared" si="3"/>
        <v>0</v>
      </c>
      <c r="CE45" s="379">
        <f t="shared" si="4"/>
        <v>1</v>
      </c>
      <c r="CF45" s="380">
        <f t="shared" si="5"/>
        <v>7263</v>
      </c>
      <c r="CG45" s="380">
        <f t="shared" si="13"/>
        <v>1</v>
      </c>
      <c r="CH45" s="380">
        <f t="shared" si="14"/>
        <v>7263</v>
      </c>
      <c r="CI45" s="356">
        <v>73</v>
      </c>
      <c r="CJ45" s="382">
        <f t="shared" si="15"/>
        <v>1</v>
      </c>
      <c r="CK45" s="382">
        <f t="shared" si="16"/>
        <v>6584.2000000000007</v>
      </c>
      <c r="CL45" s="383">
        <f t="shared" si="17"/>
        <v>54.904164515051178</v>
      </c>
      <c r="CM45" s="382">
        <f t="shared" si="18"/>
        <v>1</v>
      </c>
      <c r="CN45" s="382">
        <f t="shared" si="19"/>
        <v>6584.2000000000007</v>
      </c>
      <c r="CO45" s="383">
        <f t="shared" si="20"/>
        <v>54.904164515051178</v>
      </c>
      <c r="CP45" s="185">
        <v>1</v>
      </c>
      <c r="CQ45" s="185">
        <v>0</v>
      </c>
      <c r="CR45" s="185">
        <v>0</v>
      </c>
      <c r="CS45" s="185">
        <v>1</v>
      </c>
      <c r="CT45" s="185">
        <v>2</v>
      </c>
      <c r="CU45" s="185">
        <v>0</v>
      </c>
      <c r="CV45" s="185">
        <v>0</v>
      </c>
      <c r="CW45" s="185">
        <v>1</v>
      </c>
      <c r="CX45" s="185">
        <v>0</v>
      </c>
      <c r="CY45" s="188">
        <v>345</v>
      </c>
      <c r="CZ45" s="387">
        <v>185</v>
      </c>
      <c r="DA45" s="188">
        <v>160</v>
      </c>
      <c r="DB45" s="185">
        <v>85</v>
      </c>
      <c r="DC45" s="185">
        <v>45</v>
      </c>
      <c r="DD45" s="400">
        <v>185</v>
      </c>
      <c r="DE45" s="185">
        <v>45</v>
      </c>
      <c r="DF45" s="185">
        <v>45</v>
      </c>
      <c r="DG45" s="400">
        <v>185</v>
      </c>
      <c r="DH45" s="185">
        <v>45</v>
      </c>
      <c r="DI45" s="185">
        <v>41</v>
      </c>
      <c r="DJ45" s="185">
        <v>20</v>
      </c>
      <c r="DK45" s="188">
        <v>160</v>
      </c>
      <c r="DL45" s="185">
        <v>20</v>
      </c>
      <c r="DM45" s="185">
        <v>20</v>
      </c>
      <c r="DN45" s="188">
        <v>160</v>
      </c>
      <c r="DO45" s="185">
        <v>20</v>
      </c>
      <c r="DP45" s="184">
        <f t="shared" si="6"/>
        <v>345</v>
      </c>
      <c r="DQ45" s="185">
        <v>345</v>
      </c>
      <c r="DR45" s="298"/>
    </row>
    <row r="46" spans="1:122" s="77" customFormat="1">
      <c r="A46" s="65" t="s">
        <v>97</v>
      </c>
      <c r="B46" s="361">
        <v>40</v>
      </c>
      <c r="C46" s="393" t="s">
        <v>131</v>
      </c>
      <c r="D46" s="394">
        <v>1974</v>
      </c>
      <c r="E46" s="395"/>
      <c r="F46" s="396" t="s">
        <v>107</v>
      </c>
      <c r="G46" s="382">
        <v>1</v>
      </c>
      <c r="H46" s="395">
        <v>9</v>
      </c>
      <c r="I46" s="395" t="s">
        <v>99</v>
      </c>
      <c r="J46" s="372">
        <v>29148</v>
      </c>
      <c r="K46" s="372">
        <v>1210</v>
      </c>
      <c r="L46" s="372">
        <v>1408</v>
      </c>
      <c r="M46" s="372"/>
      <c r="N46" s="372">
        <f>354+1+2</f>
        <v>357</v>
      </c>
      <c r="O46" s="372">
        <f>354+1+2</f>
        <v>357</v>
      </c>
      <c r="P46" s="372">
        <v>358</v>
      </c>
      <c r="Q46" s="367">
        <v>97</v>
      </c>
      <c r="R46" s="397">
        <f>6748.89+21.92+16.7+16.56</f>
        <v>6804.0700000000006</v>
      </c>
      <c r="S46" s="398">
        <f>4891.79+16.75+11.74+11.32</f>
        <v>4931.5999999999995</v>
      </c>
      <c r="T46" s="367">
        <f t="shared" si="7"/>
        <v>97</v>
      </c>
      <c r="U46" s="399">
        <f t="shared" si="8"/>
        <v>1870.1000000000004</v>
      </c>
      <c r="V46" s="399">
        <f t="shared" si="9"/>
        <v>1370.5400000000009</v>
      </c>
      <c r="W46" s="372">
        <v>260</v>
      </c>
      <c r="X46" s="373">
        <v>4933.97</v>
      </c>
      <c r="Y46" s="373">
        <v>3561.0599999999986</v>
      </c>
      <c r="Z46" s="374"/>
      <c r="AA46" s="374"/>
      <c r="AB46" s="374"/>
      <c r="AC46" s="373">
        <f t="shared" si="10"/>
        <v>37.949999999999989</v>
      </c>
      <c r="AD46" s="397">
        <f t="shared" si="11"/>
        <v>37.949999999999989</v>
      </c>
      <c r="AE46" s="373"/>
      <c r="AF46" s="397">
        <f>93.13-21.92-16.7-16.56</f>
        <v>37.949999999999989</v>
      </c>
      <c r="AG46" s="373"/>
      <c r="AH46" s="374"/>
      <c r="AI46" s="375">
        <f t="shared" si="21"/>
        <v>6842.02</v>
      </c>
      <c r="AJ46" s="372"/>
      <c r="AK46" s="372">
        <v>2</v>
      </c>
      <c r="AL46" s="372">
        <v>2</v>
      </c>
      <c r="AM46" s="372">
        <v>1</v>
      </c>
      <c r="AN46" s="372"/>
      <c r="AO46" s="372">
        <v>1</v>
      </c>
      <c r="AP46" s="372">
        <v>4533</v>
      </c>
      <c r="AQ46" s="372"/>
      <c r="AR46" s="372">
        <v>300</v>
      </c>
      <c r="AS46" s="372">
        <v>184</v>
      </c>
      <c r="AT46" s="372">
        <v>76</v>
      </c>
      <c r="AU46" s="372">
        <v>6010</v>
      </c>
      <c r="AV46" s="372"/>
      <c r="AW46" s="372">
        <v>6010</v>
      </c>
      <c r="AX46" s="372">
        <v>3268</v>
      </c>
      <c r="AY46" s="372">
        <v>309</v>
      </c>
      <c r="AZ46" s="372">
        <v>1174</v>
      </c>
      <c r="BA46" s="372">
        <v>1174</v>
      </c>
      <c r="BB46" s="372">
        <v>34</v>
      </c>
      <c r="BC46" s="372">
        <v>54</v>
      </c>
      <c r="BD46" s="372">
        <v>387</v>
      </c>
      <c r="BE46" s="372">
        <v>1121</v>
      </c>
      <c r="BF46" s="372">
        <v>1</v>
      </c>
      <c r="BG46" s="372">
        <v>17000</v>
      </c>
      <c r="BH46" s="372">
        <v>710</v>
      </c>
      <c r="BI46" s="372">
        <v>200</v>
      </c>
      <c r="BJ46" s="372"/>
      <c r="BK46" s="372"/>
      <c r="BL46" s="372"/>
      <c r="BM46" s="366">
        <f t="shared" si="32"/>
        <v>1</v>
      </c>
      <c r="BN46" s="366">
        <f t="shared" si="33"/>
        <v>6804.0700000000006</v>
      </c>
      <c r="BO46" s="366">
        <f t="shared" si="34"/>
        <v>4931.5999999999995</v>
      </c>
      <c r="BP46" s="366"/>
      <c r="BQ46" s="366"/>
      <c r="BR46" s="366"/>
      <c r="BS46" s="372"/>
      <c r="BT46" s="372"/>
      <c r="BU46" s="372"/>
      <c r="BV46" s="372"/>
      <c r="BW46" s="372"/>
      <c r="BX46" s="366"/>
      <c r="BY46" s="377">
        <v>1886.35</v>
      </c>
      <c r="BZ46" s="377">
        <v>1886.35</v>
      </c>
      <c r="CA46" s="378">
        <v>2906</v>
      </c>
      <c r="CB46" s="378">
        <f t="shared" si="1"/>
        <v>1696</v>
      </c>
      <c r="CC46" s="379" t="str">
        <f t="shared" si="24"/>
        <v>0</v>
      </c>
      <c r="CD46" s="380">
        <f t="shared" si="3"/>
        <v>0</v>
      </c>
      <c r="CE46" s="379">
        <f t="shared" si="4"/>
        <v>1</v>
      </c>
      <c r="CF46" s="380">
        <f t="shared" si="5"/>
        <v>6010</v>
      </c>
      <c r="CG46" s="380">
        <f t="shared" ref="CG46:CG54" si="35">CC46+CE46</f>
        <v>1</v>
      </c>
      <c r="CH46" s="380">
        <f t="shared" ref="CH46:CH54" si="36">CD46+CF46</f>
        <v>6010</v>
      </c>
      <c r="CI46" s="356">
        <v>72</v>
      </c>
      <c r="CJ46" s="382">
        <f t="shared" si="15"/>
        <v>1</v>
      </c>
      <c r="CK46" s="382">
        <f t="shared" si="16"/>
        <v>6804.0700000000006</v>
      </c>
      <c r="CL46" s="383">
        <f t="shared" si="17"/>
        <v>72.514980004614884</v>
      </c>
      <c r="CM46" s="382">
        <f t="shared" si="18"/>
        <v>1</v>
      </c>
      <c r="CN46" s="382">
        <f t="shared" si="19"/>
        <v>6842.02</v>
      </c>
      <c r="CO46" s="383">
        <f t="shared" si="20"/>
        <v>72.667428624879776</v>
      </c>
      <c r="CP46" s="185">
        <v>1</v>
      </c>
      <c r="CQ46" s="185">
        <v>0</v>
      </c>
      <c r="CR46" s="185">
        <v>0</v>
      </c>
      <c r="CS46" s="185">
        <v>0</v>
      </c>
      <c r="CT46" s="185">
        <v>2</v>
      </c>
      <c r="CU46" s="185">
        <v>0</v>
      </c>
      <c r="CV46" s="185">
        <v>0</v>
      </c>
      <c r="CW46" s="185">
        <v>0</v>
      </c>
      <c r="CX46" s="185">
        <v>0</v>
      </c>
      <c r="CY46" s="188">
        <v>354</v>
      </c>
      <c r="CZ46" s="387">
        <v>274</v>
      </c>
      <c r="DA46" s="188">
        <v>80</v>
      </c>
      <c r="DB46" s="185">
        <v>12</v>
      </c>
      <c r="DC46" s="185">
        <v>5</v>
      </c>
      <c r="DD46" s="400">
        <v>274</v>
      </c>
      <c r="DE46" s="185">
        <v>5</v>
      </c>
      <c r="DF46" s="185">
        <v>5</v>
      </c>
      <c r="DG46" s="400">
        <v>274</v>
      </c>
      <c r="DH46" s="185">
        <v>5</v>
      </c>
      <c r="DI46" s="185">
        <v>2</v>
      </c>
      <c r="DJ46" s="185">
        <v>0</v>
      </c>
      <c r="DK46" s="188">
        <v>80</v>
      </c>
      <c r="DL46" s="185">
        <v>0</v>
      </c>
      <c r="DM46" s="185">
        <v>0</v>
      </c>
      <c r="DN46" s="188">
        <v>80</v>
      </c>
      <c r="DO46" s="185">
        <v>0</v>
      </c>
      <c r="DP46" s="184">
        <f t="shared" si="6"/>
        <v>354</v>
      </c>
      <c r="DQ46" s="185">
        <v>354</v>
      </c>
      <c r="DR46" s="298"/>
    </row>
    <row r="47" spans="1:122" s="93" customFormat="1">
      <c r="A47" s="78" t="s">
        <v>98</v>
      </c>
      <c r="B47" s="361">
        <v>41</v>
      </c>
      <c r="C47" s="393" t="s">
        <v>132</v>
      </c>
      <c r="D47" s="401">
        <v>1974</v>
      </c>
      <c r="E47" s="395"/>
      <c r="F47" s="396" t="s">
        <v>107</v>
      </c>
      <c r="G47" s="402">
        <v>1</v>
      </c>
      <c r="H47" s="403">
        <v>9</v>
      </c>
      <c r="I47" s="395" t="s">
        <v>99</v>
      </c>
      <c r="J47" s="402">
        <v>29080</v>
      </c>
      <c r="K47" s="402">
        <v>1208</v>
      </c>
      <c r="L47" s="402">
        <v>1407</v>
      </c>
      <c r="M47" s="402"/>
      <c r="N47" s="402">
        <f>345+1+1</f>
        <v>347</v>
      </c>
      <c r="O47" s="402">
        <f>345+1+1</f>
        <v>347</v>
      </c>
      <c r="P47" s="402">
        <v>344</v>
      </c>
      <c r="Q47" s="372">
        <v>566</v>
      </c>
      <c r="R47" s="404">
        <f>6582.84+21.68+16.44</f>
        <v>6620.96</v>
      </c>
      <c r="S47" s="405">
        <f>4837.3+16.36+11.74</f>
        <v>4865.3999999999996</v>
      </c>
      <c r="T47" s="372">
        <f t="shared" si="7"/>
        <v>148</v>
      </c>
      <c r="U47" s="405">
        <f t="shared" si="8"/>
        <v>2851.2</v>
      </c>
      <c r="V47" s="405">
        <f t="shared" si="9"/>
        <v>2094.6299999999997</v>
      </c>
      <c r="W47" s="372">
        <v>199</v>
      </c>
      <c r="X47" s="373">
        <v>3769.76</v>
      </c>
      <c r="Y47" s="373">
        <v>2770.77</v>
      </c>
      <c r="Z47" s="406"/>
      <c r="AA47" s="406"/>
      <c r="AB47" s="406"/>
      <c r="AC47" s="373">
        <f t="shared" si="10"/>
        <v>36.97999999999999</v>
      </c>
      <c r="AD47" s="407">
        <f t="shared" si="11"/>
        <v>36.97999999999999</v>
      </c>
      <c r="AE47" s="408"/>
      <c r="AF47" s="407">
        <f>75.1-21.68-16.44</f>
        <v>36.97999999999999</v>
      </c>
      <c r="AG47" s="408"/>
      <c r="AH47" s="406"/>
      <c r="AI47" s="375">
        <f t="shared" ref="AI47:AI54" si="37">R47+AC47</f>
        <v>6657.94</v>
      </c>
      <c r="AJ47" s="402"/>
      <c r="AK47" s="402">
        <v>2</v>
      </c>
      <c r="AL47" s="402">
        <v>2</v>
      </c>
      <c r="AM47" s="402">
        <v>1</v>
      </c>
      <c r="AN47" s="402"/>
      <c r="AO47" s="402">
        <v>1</v>
      </c>
      <c r="AP47" s="402">
        <v>4539</v>
      </c>
      <c r="AQ47" s="402"/>
      <c r="AR47" s="402">
        <v>249</v>
      </c>
      <c r="AS47" s="409">
        <v>238</v>
      </c>
      <c r="AT47" s="402">
        <v>76</v>
      </c>
      <c r="AU47" s="402">
        <v>7343</v>
      </c>
      <c r="AV47" s="402"/>
      <c r="AW47" s="402">
        <v>7343</v>
      </c>
      <c r="AX47" s="402">
        <v>3268</v>
      </c>
      <c r="AY47" s="402">
        <v>227</v>
      </c>
      <c r="AZ47" s="402">
        <v>1173</v>
      </c>
      <c r="BA47" s="402">
        <v>1173</v>
      </c>
      <c r="BB47" s="402">
        <v>71</v>
      </c>
      <c r="BC47" s="402">
        <v>54</v>
      </c>
      <c r="BD47" s="402">
        <v>377</v>
      </c>
      <c r="BE47" s="402">
        <v>1097</v>
      </c>
      <c r="BF47" s="402">
        <v>1</v>
      </c>
      <c r="BG47" s="402">
        <v>17000</v>
      </c>
      <c r="BH47" s="402">
        <v>710</v>
      </c>
      <c r="BI47" s="402">
        <v>200</v>
      </c>
      <c r="BJ47" s="402"/>
      <c r="BK47" s="402"/>
      <c r="BL47" s="402"/>
      <c r="BM47" s="402">
        <f t="shared" si="32"/>
        <v>1</v>
      </c>
      <c r="BN47" s="402">
        <f t="shared" si="33"/>
        <v>6620.96</v>
      </c>
      <c r="BO47" s="402">
        <f t="shared" si="34"/>
        <v>4865.3999999999996</v>
      </c>
      <c r="BP47" s="402"/>
      <c r="BQ47" s="402"/>
      <c r="BR47" s="402"/>
      <c r="BS47" s="402"/>
      <c r="BT47" s="402"/>
      <c r="BU47" s="402"/>
      <c r="BV47" s="402"/>
      <c r="BW47" s="402"/>
      <c r="BX47" s="402"/>
      <c r="BY47" s="377">
        <v>1811.84</v>
      </c>
      <c r="BZ47" s="377">
        <v>1811.84</v>
      </c>
      <c r="CA47" s="378">
        <v>3281</v>
      </c>
      <c r="CB47" s="378">
        <f t="shared" si="1"/>
        <v>2073</v>
      </c>
      <c r="CC47" s="379" t="str">
        <f t="shared" si="24"/>
        <v>0</v>
      </c>
      <c r="CD47" s="380">
        <f t="shared" si="3"/>
        <v>0</v>
      </c>
      <c r="CE47" s="379">
        <f t="shared" si="4"/>
        <v>1</v>
      </c>
      <c r="CF47" s="380">
        <f t="shared" si="5"/>
        <v>7343</v>
      </c>
      <c r="CG47" s="380">
        <f t="shared" si="35"/>
        <v>1</v>
      </c>
      <c r="CH47" s="380">
        <f t="shared" si="36"/>
        <v>7343</v>
      </c>
      <c r="CI47" s="381">
        <v>68</v>
      </c>
      <c r="CJ47" s="382">
        <f t="shared" si="15"/>
        <v>1</v>
      </c>
      <c r="CK47" s="382">
        <f t="shared" si="16"/>
        <v>6620.96</v>
      </c>
      <c r="CL47" s="383">
        <f t="shared" si="17"/>
        <v>56.93675841569803</v>
      </c>
      <c r="CM47" s="382">
        <f t="shared" si="18"/>
        <v>1</v>
      </c>
      <c r="CN47" s="382">
        <f t="shared" si="19"/>
        <v>6657.94</v>
      </c>
      <c r="CO47" s="383">
        <f t="shared" si="20"/>
        <v>57.175943309792522</v>
      </c>
      <c r="CP47" s="185">
        <v>1</v>
      </c>
      <c r="CQ47" s="185">
        <v>0</v>
      </c>
      <c r="CR47" s="185">
        <v>0</v>
      </c>
      <c r="CS47" s="185">
        <v>1</v>
      </c>
      <c r="CT47" s="185">
        <v>2</v>
      </c>
      <c r="CU47" s="185">
        <v>0</v>
      </c>
      <c r="CV47" s="185">
        <v>0</v>
      </c>
      <c r="CW47" s="185">
        <v>1</v>
      </c>
      <c r="CX47" s="185">
        <v>0</v>
      </c>
      <c r="CY47" s="188">
        <v>345</v>
      </c>
      <c r="CZ47" s="387">
        <v>167</v>
      </c>
      <c r="DA47" s="188">
        <v>178</v>
      </c>
      <c r="DB47" s="185">
        <v>61</v>
      </c>
      <c r="DC47" s="185">
        <v>33</v>
      </c>
      <c r="DD47" s="400">
        <v>167</v>
      </c>
      <c r="DE47" s="185">
        <v>33</v>
      </c>
      <c r="DF47" s="185">
        <v>33</v>
      </c>
      <c r="DG47" s="400">
        <v>167</v>
      </c>
      <c r="DH47" s="185">
        <v>33</v>
      </c>
      <c r="DI47" s="185">
        <v>31</v>
      </c>
      <c r="DJ47" s="185">
        <v>38</v>
      </c>
      <c r="DK47" s="188">
        <v>178</v>
      </c>
      <c r="DL47" s="185">
        <v>38</v>
      </c>
      <c r="DM47" s="185">
        <v>38</v>
      </c>
      <c r="DN47" s="188">
        <v>178</v>
      </c>
      <c r="DO47" s="185">
        <v>38</v>
      </c>
      <c r="DP47" s="184">
        <f t="shared" si="6"/>
        <v>345</v>
      </c>
      <c r="DQ47" s="185">
        <v>345</v>
      </c>
      <c r="DR47" s="385"/>
    </row>
    <row r="48" spans="1:122" s="106" customFormat="1">
      <c r="A48" s="94" t="s">
        <v>98</v>
      </c>
      <c r="B48" s="361">
        <v>42</v>
      </c>
      <c r="C48" s="393" t="s">
        <v>133</v>
      </c>
      <c r="D48" s="401">
        <v>1964</v>
      </c>
      <c r="E48" s="395"/>
      <c r="F48" s="393" t="s">
        <v>106</v>
      </c>
      <c r="G48" s="402">
        <v>1</v>
      </c>
      <c r="H48" s="403">
        <v>5</v>
      </c>
      <c r="I48" s="395" t="s">
        <v>100</v>
      </c>
      <c r="J48" s="402">
        <f>13100+3225</f>
        <v>16325</v>
      </c>
      <c r="K48" s="402">
        <f>933</f>
        <v>933</v>
      </c>
      <c r="L48" s="402">
        <f>1054+388</f>
        <v>1442</v>
      </c>
      <c r="M48" s="402"/>
      <c r="N48" s="402">
        <v>145</v>
      </c>
      <c r="O48" s="402">
        <v>155</v>
      </c>
      <c r="P48" s="402">
        <v>129</v>
      </c>
      <c r="Q48" s="372">
        <v>80</v>
      </c>
      <c r="R48" s="407">
        <v>2716.68</v>
      </c>
      <c r="S48" s="410">
        <v>1862.51</v>
      </c>
      <c r="T48" s="372">
        <f t="shared" si="7"/>
        <v>28</v>
      </c>
      <c r="U48" s="405">
        <f t="shared" si="8"/>
        <v>573.55999999999995</v>
      </c>
      <c r="V48" s="405">
        <f t="shared" si="9"/>
        <v>405.3900000000001</v>
      </c>
      <c r="W48" s="372">
        <v>117</v>
      </c>
      <c r="X48" s="373">
        <v>2143.12</v>
      </c>
      <c r="Y48" s="373">
        <v>1457.12</v>
      </c>
      <c r="Z48" s="406"/>
      <c r="AA48" s="406"/>
      <c r="AB48" s="406"/>
      <c r="AC48" s="373">
        <f t="shared" si="10"/>
        <v>94.7</v>
      </c>
      <c r="AD48" s="407">
        <f t="shared" si="11"/>
        <v>0</v>
      </c>
      <c r="AE48" s="408"/>
      <c r="AF48" s="407">
        <v>0</v>
      </c>
      <c r="AG48" s="408">
        <v>94.7</v>
      </c>
      <c r="AH48" s="406"/>
      <c r="AI48" s="375">
        <f t="shared" si="37"/>
        <v>2811.3799999999997</v>
      </c>
      <c r="AJ48" s="402"/>
      <c r="AK48" s="402"/>
      <c r="AL48" s="402">
        <f>2+1</f>
        <v>3</v>
      </c>
      <c r="AM48" s="402">
        <f>1</f>
        <v>1</v>
      </c>
      <c r="AN48" s="402"/>
      <c r="AO48" s="402">
        <f>1</f>
        <v>1</v>
      </c>
      <c r="AP48" s="402">
        <f>2404+908</f>
        <v>3312</v>
      </c>
      <c r="AQ48" s="402"/>
      <c r="AR48" s="402">
        <f>180+186</f>
        <v>366</v>
      </c>
      <c r="AS48" s="409">
        <f>298+44</f>
        <v>342</v>
      </c>
      <c r="AT48" s="402">
        <f>529+25</f>
        <v>554</v>
      </c>
      <c r="AU48" s="402">
        <f>2885+800</f>
        <v>3685</v>
      </c>
      <c r="AV48" s="402"/>
      <c r="AW48" s="402">
        <f>2885+800</f>
        <v>3685</v>
      </c>
      <c r="AX48" s="402"/>
      <c r="AY48" s="402">
        <f>135+123</f>
        <v>258</v>
      </c>
      <c r="AZ48" s="402">
        <f>668+907</f>
        <v>1575</v>
      </c>
      <c r="BA48" s="402">
        <f>668+907</f>
        <v>1575</v>
      </c>
      <c r="BB48" s="402">
        <f>11+4</f>
        <v>15</v>
      </c>
      <c r="BC48" s="402">
        <f>8+13</f>
        <v>21</v>
      </c>
      <c r="BD48" s="402">
        <f>138+70</f>
        <v>208</v>
      </c>
      <c r="BE48" s="402">
        <f>461+210</f>
        <v>671</v>
      </c>
      <c r="BF48" s="402">
        <f>0+1</f>
        <v>1</v>
      </c>
      <c r="BG48" s="402">
        <f>2637+650</f>
        <v>3287</v>
      </c>
      <c r="BH48" s="402">
        <f>68+200</f>
        <v>268</v>
      </c>
      <c r="BI48" s="402"/>
      <c r="BJ48" s="402">
        <f>G48</f>
        <v>1</v>
      </c>
      <c r="BK48" s="402">
        <f>R48</f>
        <v>2716.68</v>
      </c>
      <c r="BL48" s="402">
        <f>S48</f>
        <v>1862.51</v>
      </c>
      <c r="BM48" s="402"/>
      <c r="BN48" s="402"/>
      <c r="BO48" s="402"/>
      <c r="BP48" s="402"/>
      <c r="BQ48" s="402"/>
      <c r="BR48" s="402"/>
      <c r="BS48" s="402"/>
      <c r="BT48" s="402"/>
      <c r="BU48" s="402"/>
      <c r="BV48" s="402"/>
      <c r="BW48" s="402"/>
      <c r="BX48" s="402">
        <f>AP48</f>
        <v>3312</v>
      </c>
      <c r="BY48" s="377">
        <v>779.41</v>
      </c>
      <c r="BZ48" s="377">
        <v>779.41</v>
      </c>
      <c r="CA48" s="378">
        <v>2535</v>
      </c>
      <c r="CB48" s="378">
        <f t="shared" si="1"/>
        <v>1602</v>
      </c>
      <c r="CC48" s="379" t="str">
        <f t="shared" si="24"/>
        <v>0</v>
      </c>
      <c r="CD48" s="380">
        <f t="shared" si="3"/>
        <v>0</v>
      </c>
      <c r="CE48" s="379">
        <f t="shared" si="4"/>
        <v>1</v>
      </c>
      <c r="CF48" s="380">
        <f t="shared" si="5"/>
        <v>3685</v>
      </c>
      <c r="CG48" s="380">
        <f t="shared" si="35"/>
        <v>1</v>
      </c>
      <c r="CH48" s="380">
        <f t="shared" si="36"/>
        <v>3685</v>
      </c>
      <c r="CI48" s="381">
        <v>48</v>
      </c>
      <c r="CJ48" s="382">
        <f t="shared" si="15"/>
        <v>1</v>
      </c>
      <c r="CK48" s="382">
        <f t="shared" si="16"/>
        <v>2716.68</v>
      </c>
      <c r="CL48" s="383">
        <f t="shared" si="17"/>
        <v>78.887465582990998</v>
      </c>
      <c r="CM48" s="382">
        <f t="shared" si="18"/>
        <v>1</v>
      </c>
      <c r="CN48" s="382">
        <f t="shared" si="19"/>
        <v>2811.3799999999997</v>
      </c>
      <c r="CO48" s="383">
        <f t="shared" si="20"/>
        <v>76.230178773413769</v>
      </c>
      <c r="CP48" s="185">
        <v>1</v>
      </c>
      <c r="CQ48" s="185">
        <v>0</v>
      </c>
      <c r="CR48" s="185">
        <v>0</v>
      </c>
      <c r="CS48" s="185">
        <v>0</v>
      </c>
      <c r="CT48" s="185">
        <v>2</v>
      </c>
      <c r="CU48" s="185">
        <v>0</v>
      </c>
      <c r="CV48" s="185">
        <v>0</v>
      </c>
      <c r="CW48" s="185">
        <v>1</v>
      </c>
      <c r="CX48" s="185">
        <v>0</v>
      </c>
      <c r="CY48" s="188">
        <v>145</v>
      </c>
      <c r="CZ48" s="387">
        <v>90</v>
      </c>
      <c r="DA48" s="188">
        <v>55</v>
      </c>
      <c r="DB48" s="185">
        <v>27</v>
      </c>
      <c r="DC48" s="185">
        <v>5</v>
      </c>
      <c r="DD48" s="400">
        <v>90</v>
      </c>
      <c r="DE48" s="185">
        <v>5</v>
      </c>
      <c r="DF48" s="185">
        <v>5</v>
      </c>
      <c r="DG48" s="400">
        <v>90</v>
      </c>
      <c r="DH48" s="185">
        <v>5</v>
      </c>
      <c r="DI48" s="185">
        <v>45</v>
      </c>
      <c r="DJ48" s="185">
        <v>3</v>
      </c>
      <c r="DK48" s="188">
        <v>55</v>
      </c>
      <c r="DL48" s="185">
        <v>3</v>
      </c>
      <c r="DM48" s="185">
        <v>3</v>
      </c>
      <c r="DN48" s="188">
        <v>55</v>
      </c>
      <c r="DO48" s="185">
        <v>3</v>
      </c>
      <c r="DP48" s="184">
        <f t="shared" si="6"/>
        <v>145</v>
      </c>
      <c r="DQ48" s="185">
        <v>145</v>
      </c>
      <c r="DR48" s="385"/>
    </row>
    <row r="49" spans="1:122" s="93" customFormat="1">
      <c r="A49" s="78" t="s">
        <v>98</v>
      </c>
      <c r="B49" s="361">
        <v>43</v>
      </c>
      <c r="C49" s="393" t="s">
        <v>134</v>
      </c>
      <c r="D49" s="401">
        <v>1975</v>
      </c>
      <c r="E49" s="395"/>
      <c r="F49" s="396" t="s">
        <v>107</v>
      </c>
      <c r="G49" s="402">
        <v>1</v>
      </c>
      <c r="H49" s="403">
        <v>9</v>
      </c>
      <c r="I49" s="395" t="s">
        <v>99</v>
      </c>
      <c r="J49" s="402">
        <v>29680</v>
      </c>
      <c r="K49" s="402">
        <v>1226</v>
      </c>
      <c r="L49" s="402"/>
      <c r="M49" s="402">
        <v>1246</v>
      </c>
      <c r="N49" s="402">
        <f>335+1</f>
        <v>336</v>
      </c>
      <c r="O49" s="402">
        <f>335+1</f>
        <v>336</v>
      </c>
      <c r="P49" s="402">
        <v>338</v>
      </c>
      <c r="Q49" s="372">
        <v>387</v>
      </c>
      <c r="R49" s="407">
        <f>6413.94+16.53</f>
        <v>6430.4699999999993</v>
      </c>
      <c r="S49" s="410">
        <v>4660.24</v>
      </c>
      <c r="T49" s="372">
        <f t="shared" si="7"/>
        <v>114</v>
      </c>
      <c r="U49" s="405">
        <f t="shared" si="8"/>
        <v>2193.7299999999996</v>
      </c>
      <c r="V49" s="405">
        <f t="shared" si="9"/>
        <v>1604.58</v>
      </c>
      <c r="W49" s="372">
        <v>222</v>
      </c>
      <c r="X49" s="373">
        <v>4236.74</v>
      </c>
      <c r="Y49" s="373">
        <v>3055.66</v>
      </c>
      <c r="Z49" s="406"/>
      <c r="AA49" s="406"/>
      <c r="AB49" s="406"/>
      <c r="AC49" s="373">
        <f t="shared" si="10"/>
        <v>154.26</v>
      </c>
      <c r="AD49" s="407">
        <f t="shared" si="11"/>
        <v>154.26</v>
      </c>
      <c r="AE49" s="408"/>
      <c r="AF49" s="407">
        <f>170.79-16.53</f>
        <v>154.26</v>
      </c>
      <c r="AG49" s="408"/>
      <c r="AH49" s="406"/>
      <c r="AI49" s="375">
        <f t="shared" si="37"/>
        <v>6584.73</v>
      </c>
      <c r="AJ49" s="402"/>
      <c r="AK49" s="402">
        <v>2</v>
      </c>
      <c r="AL49" s="402">
        <v>2</v>
      </c>
      <c r="AM49" s="402">
        <v>1</v>
      </c>
      <c r="AN49" s="402"/>
      <c r="AO49" s="402">
        <v>1</v>
      </c>
      <c r="AP49" s="402">
        <v>3339</v>
      </c>
      <c r="AQ49" s="402"/>
      <c r="AR49" s="402">
        <v>498</v>
      </c>
      <c r="AS49" s="409">
        <v>295</v>
      </c>
      <c r="AT49" s="402">
        <v>1305</v>
      </c>
      <c r="AU49" s="402">
        <v>9331</v>
      </c>
      <c r="AV49" s="402"/>
      <c r="AW49" s="402">
        <v>9331</v>
      </c>
      <c r="AX49" s="402">
        <v>3292</v>
      </c>
      <c r="AY49" s="402">
        <v>224</v>
      </c>
      <c r="AZ49" s="402">
        <v>1186</v>
      </c>
      <c r="BA49" s="402">
        <v>1186</v>
      </c>
      <c r="BB49" s="402">
        <v>54</v>
      </c>
      <c r="BC49" s="402">
        <v>86</v>
      </c>
      <c r="BD49" s="402">
        <v>378</v>
      </c>
      <c r="BE49" s="402">
        <v>1090</v>
      </c>
      <c r="BF49" s="402">
        <v>1</v>
      </c>
      <c r="BG49" s="402">
        <v>8789</v>
      </c>
      <c r="BH49" s="402">
        <v>225</v>
      </c>
      <c r="BI49" s="402">
        <v>200</v>
      </c>
      <c r="BJ49" s="402"/>
      <c r="BK49" s="402"/>
      <c r="BL49" s="402"/>
      <c r="BM49" s="402">
        <f t="shared" ref="BM49:BM51" si="38">G49</f>
        <v>1</v>
      </c>
      <c r="BN49" s="402">
        <f t="shared" ref="BN49:BO51" si="39">R49</f>
        <v>6430.4699999999993</v>
      </c>
      <c r="BO49" s="402">
        <f t="shared" si="39"/>
        <v>4660.24</v>
      </c>
      <c r="BP49" s="402"/>
      <c r="BQ49" s="402"/>
      <c r="BR49" s="402"/>
      <c r="BS49" s="402"/>
      <c r="BT49" s="402">
        <v>1</v>
      </c>
      <c r="BU49" s="402"/>
      <c r="BV49" s="402"/>
      <c r="BW49" s="402">
        <v>20</v>
      </c>
      <c r="BX49" s="402"/>
      <c r="BY49" s="377">
        <v>2010.93</v>
      </c>
      <c r="BZ49" s="377">
        <v>2010.93</v>
      </c>
      <c r="CA49" s="378">
        <v>3741</v>
      </c>
      <c r="CB49" s="378">
        <f t="shared" si="1"/>
        <v>2515</v>
      </c>
      <c r="CC49" s="379" t="str">
        <f t="shared" si="24"/>
        <v>0</v>
      </c>
      <c r="CD49" s="380">
        <f t="shared" si="3"/>
        <v>0</v>
      </c>
      <c r="CE49" s="379">
        <f t="shared" si="4"/>
        <v>1</v>
      </c>
      <c r="CF49" s="380">
        <f t="shared" si="5"/>
        <v>9331</v>
      </c>
      <c r="CG49" s="380">
        <f t="shared" si="35"/>
        <v>1</v>
      </c>
      <c r="CH49" s="380">
        <f t="shared" si="36"/>
        <v>9331</v>
      </c>
      <c r="CI49" s="381">
        <v>73</v>
      </c>
      <c r="CJ49" s="382">
        <f t="shared" si="15"/>
        <v>1</v>
      </c>
      <c r="CK49" s="382">
        <f t="shared" si="16"/>
        <v>6430.4699999999993</v>
      </c>
      <c r="CL49" s="383">
        <f t="shared" si="17"/>
        <v>65.885386293692378</v>
      </c>
      <c r="CM49" s="382">
        <f t="shared" si="18"/>
        <v>1</v>
      </c>
      <c r="CN49" s="382">
        <f t="shared" si="19"/>
        <v>6584.73</v>
      </c>
      <c r="CO49" s="383">
        <f t="shared" si="20"/>
        <v>66.684586915484772</v>
      </c>
      <c r="CP49" s="185">
        <v>1</v>
      </c>
      <c r="CQ49" s="185">
        <v>0</v>
      </c>
      <c r="CR49" s="185">
        <v>0</v>
      </c>
      <c r="CS49" s="185">
        <v>0</v>
      </c>
      <c r="CT49" s="185">
        <v>2</v>
      </c>
      <c r="CU49" s="185">
        <v>0</v>
      </c>
      <c r="CV49" s="185">
        <v>0</v>
      </c>
      <c r="CW49" s="185">
        <v>1</v>
      </c>
      <c r="CX49" s="185">
        <v>0</v>
      </c>
      <c r="CY49" s="188">
        <v>336</v>
      </c>
      <c r="CZ49" s="387">
        <v>163</v>
      </c>
      <c r="DA49" s="188">
        <v>173</v>
      </c>
      <c r="DB49" s="185">
        <v>54</v>
      </c>
      <c r="DC49" s="185">
        <v>39</v>
      </c>
      <c r="DD49" s="400">
        <v>163</v>
      </c>
      <c r="DE49" s="185">
        <v>39</v>
      </c>
      <c r="DF49" s="185">
        <v>39</v>
      </c>
      <c r="DG49" s="400">
        <v>163</v>
      </c>
      <c r="DH49" s="185">
        <v>39</v>
      </c>
      <c r="DI49" s="185">
        <v>48</v>
      </c>
      <c r="DJ49" s="185">
        <v>35</v>
      </c>
      <c r="DK49" s="188">
        <v>173</v>
      </c>
      <c r="DL49" s="185">
        <v>35</v>
      </c>
      <c r="DM49" s="185">
        <v>35</v>
      </c>
      <c r="DN49" s="188">
        <v>173</v>
      </c>
      <c r="DO49" s="185">
        <v>35</v>
      </c>
      <c r="DP49" s="184">
        <f t="shared" si="6"/>
        <v>336</v>
      </c>
      <c r="DQ49" s="185">
        <v>336</v>
      </c>
      <c r="DR49" s="385"/>
    </row>
    <row r="50" spans="1:122" s="93" customFormat="1">
      <c r="A50" s="78" t="s">
        <v>98</v>
      </c>
      <c r="B50" s="361">
        <v>44</v>
      </c>
      <c r="C50" s="393" t="s">
        <v>135</v>
      </c>
      <c r="D50" s="401">
        <v>1974</v>
      </c>
      <c r="E50" s="395"/>
      <c r="F50" s="396" t="s">
        <v>107</v>
      </c>
      <c r="G50" s="402">
        <v>1</v>
      </c>
      <c r="H50" s="403">
        <v>9</v>
      </c>
      <c r="I50" s="395" t="s">
        <v>99</v>
      </c>
      <c r="J50" s="402">
        <v>29548</v>
      </c>
      <c r="K50" s="402">
        <v>1244</v>
      </c>
      <c r="L50" s="402">
        <v>1417</v>
      </c>
      <c r="M50" s="402"/>
      <c r="N50" s="402">
        <f>352+1+2</f>
        <v>355</v>
      </c>
      <c r="O50" s="402">
        <f>352+1+2</f>
        <v>355</v>
      </c>
      <c r="P50" s="402">
        <v>357</v>
      </c>
      <c r="Q50" s="372">
        <v>507</v>
      </c>
      <c r="R50" s="407">
        <f>6721.74+16.56+21.84+21.6</f>
        <v>6781.7400000000007</v>
      </c>
      <c r="S50" s="410">
        <f>5091.4+12.05+17+16.88</f>
        <v>5137.33</v>
      </c>
      <c r="T50" s="367">
        <f t="shared" si="7"/>
        <v>160</v>
      </c>
      <c r="U50" s="405">
        <f t="shared" si="8"/>
        <v>3018.5600000000009</v>
      </c>
      <c r="V50" s="405">
        <f t="shared" si="9"/>
        <v>2287.17</v>
      </c>
      <c r="W50" s="372">
        <v>195</v>
      </c>
      <c r="X50" s="373">
        <v>3763.18</v>
      </c>
      <c r="Y50" s="373">
        <v>2850.16</v>
      </c>
      <c r="Z50" s="406"/>
      <c r="AA50" s="406"/>
      <c r="AB50" s="406"/>
      <c r="AC50" s="373">
        <f t="shared" si="10"/>
        <v>33.629999999999988</v>
      </c>
      <c r="AD50" s="407">
        <f t="shared" si="11"/>
        <v>33.629999999999988</v>
      </c>
      <c r="AE50" s="408"/>
      <c r="AF50" s="407">
        <f>93.63-16.56-21.84-21.6</f>
        <v>33.629999999999988</v>
      </c>
      <c r="AG50" s="408"/>
      <c r="AH50" s="406"/>
      <c r="AI50" s="375">
        <f t="shared" si="37"/>
        <v>6815.3700000000008</v>
      </c>
      <c r="AJ50" s="402"/>
      <c r="AK50" s="402">
        <v>2</v>
      </c>
      <c r="AL50" s="402">
        <v>2</v>
      </c>
      <c r="AM50" s="402">
        <v>1</v>
      </c>
      <c r="AN50" s="402"/>
      <c r="AO50" s="402">
        <v>1</v>
      </c>
      <c r="AP50" s="402">
        <v>3328</v>
      </c>
      <c r="AQ50" s="402"/>
      <c r="AR50" s="402">
        <v>240</v>
      </c>
      <c r="AS50" s="409">
        <v>358</v>
      </c>
      <c r="AT50" s="402">
        <v>1305</v>
      </c>
      <c r="AU50" s="402">
        <v>9331</v>
      </c>
      <c r="AV50" s="402"/>
      <c r="AW50" s="402">
        <v>9331</v>
      </c>
      <c r="AX50" s="402">
        <v>3293</v>
      </c>
      <c r="AY50" s="402">
        <v>228</v>
      </c>
      <c r="AZ50" s="402">
        <v>1177</v>
      </c>
      <c r="BA50" s="402">
        <v>1177</v>
      </c>
      <c r="BB50" s="402">
        <v>60</v>
      </c>
      <c r="BC50" s="402">
        <v>88</v>
      </c>
      <c r="BD50" s="402">
        <v>387</v>
      </c>
      <c r="BE50" s="402">
        <v>1113</v>
      </c>
      <c r="BF50" s="402">
        <v>1</v>
      </c>
      <c r="BG50" s="402">
        <v>8789</v>
      </c>
      <c r="BH50" s="402">
        <v>225</v>
      </c>
      <c r="BI50" s="402">
        <v>200</v>
      </c>
      <c r="BJ50" s="402"/>
      <c r="BK50" s="402"/>
      <c r="BL50" s="402"/>
      <c r="BM50" s="402">
        <f t="shared" si="38"/>
        <v>1</v>
      </c>
      <c r="BN50" s="402">
        <f t="shared" si="39"/>
        <v>6781.7400000000007</v>
      </c>
      <c r="BO50" s="402">
        <f t="shared" si="39"/>
        <v>5137.33</v>
      </c>
      <c r="BP50" s="402"/>
      <c r="BQ50" s="402"/>
      <c r="BR50" s="402"/>
      <c r="BS50" s="402"/>
      <c r="BT50" s="402"/>
      <c r="BU50" s="402"/>
      <c r="BV50" s="402"/>
      <c r="BW50" s="402"/>
      <c r="BX50" s="402"/>
      <c r="BY50" s="377">
        <v>1912.93</v>
      </c>
      <c r="BZ50" s="377">
        <v>1912.93</v>
      </c>
      <c r="CA50" s="378">
        <v>2483</v>
      </c>
      <c r="CB50" s="378">
        <f t="shared" si="1"/>
        <v>1239</v>
      </c>
      <c r="CC50" s="379" t="str">
        <f t="shared" si="24"/>
        <v>0</v>
      </c>
      <c r="CD50" s="380">
        <f t="shared" si="3"/>
        <v>0</v>
      </c>
      <c r="CE50" s="379">
        <f t="shared" si="4"/>
        <v>1</v>
      </c>
      <c r="CF50" s="380">
        <f t="shared" si="5"/>
        <v>9331</v>
      </c>
      <c r="CG50" s="380">
        <f t="shared" si="35"/>
        <v>1</v>
      </c>
      <c r="CH50" s="380">
        <f t="shared" si="36"/>
        <v>9331</v>
      </c>
      <c r="CI50" s="381">
        <v>75</v>
      </c>
      <c r="CJ50" s="382">
        <f t="shared" si="15"/>
        <v>1</v>
      </c>
      <c r="CK50" s="382">
        <f t="shared" si="16"/>
        <v>6781.7400000000007</v>
      </c>
      <c r="CL50" s="383">
        <f t="shared" si="17"/>
        <v>55.489889025530317</v>
      </c>
      <c r="CM50" s="382">
        <f t="shared" si="18"/>
        <v>1</v>
      </c>
      <c r="CN50" s="382">
        <f t="shared" si="19"/>
        <v>6815.3700000000008</v>
      </c>
      <c r="CO50" s="383">
        <f t="shared" si="20"/>
        <v>55.709521273239751</v>
      </c>
      <c r="CP50" s="185">
        <v>1</v>
      </c>
      <c r="CQ50" s="185">
        <v>0</v>
      </c>
      <c r="CR50" s="185">
        <v>0</v>
      </c>
      <c r="CS50" s="185">
        <v>0</v>
      </c>
      <c r="CT50" s="185">
        <v>2</v>
      </c>
      <c r="CU50" s="185">
        <v>0</v>
      </c>
      <c r="CV50" s="185">
        <v>0</v>
      </c>
      <c r="CW50" s="185">
        <v>1</v>
      </c>
      <c r="CX50" s="185">
        <v>0</v>
      </c>
      <c r="CY50" s="188">
        <v>352</v>
      </c>
      <c r="CZ50" s="387">
        <v>165</v>
      </c>
      <c r="DA50" s="188">
        <v>187</v>
      </c>
      <c r="DB50" s="185">
        <v>48</v>
      </c>
      <c r="DC50" s="185">
        <v>31</v>
      </c>
      <c r="DD50" s="400">
        <v>165</v>
      </c>
      <c r="DE50" s="185">
        <v>31</v>
      </c>
      <c r="DF50" s="185">
        <v>31</v>
      </c>
      <c r="DG50" s="400">
        <v>165</v>
      </c>
      <c r="DH50" s="185">
        <v>31</v>
      </c>
      <c r="DI50" s="185">
        <v>24</v>
      </c>
      <c r="DJ50" s="185">
        <v>27</v>
      </c>
      <c r="DK50" s="188">
        <v>187</v>
      </c>
      <c r="DL50" s="185">
        <v>27</v>
      </c>
      <c r="DM50" s="185">
        <v>27</v>
      </c>
      <c r="DN50" s="188">
        <v>187</v>
      </c>
      <c r="DO50" s="185">
        <v>27</v>
      </c>
      <c r="DP50" s="184">
        <f t="shared" si="6"/>
        <v>352</v>
      </c>
      <c r="DQ50" s="185">
        <v>352</v>
      </c>
      <c r="DR50" s="385"/>
    </row>
    <row r="51" spans="1:122" s="93" customFormat="1">
      <c r="A51" s="78" t="s">
        <v>98</v>
      </c>
      <c r="B51" s="361">
        <v>45</v>
      </c>
      <c r="C51" s="393" t="s">
        <v>136</v>
      </c>
      <c r="D51" s="401">
        <v>1972</v>
      </c>
      <c r="E51" s="395"/>
      <c r="F51" s="396" t="s">
        <v>107</v>
      </c>
      <c r="G51" s="402">
        <v>1</v>
      </c>
      <c r="H51" s="403">
        <v>9</v>
      </c>
      <c r="I51" s="395" t="s">
        <v>99</v>
      </c>
      <c r="J51" s="402">
        <v>28739</v>
      </c>
      <c r="K51" s="402">
        <v>1192</v>
      </c>
      <c r="L51" s="402">
        <v>1415</v>
      </c>
      <c r="M51" s="402"/>
      <c r="N51" s="402">
        <f>353+3</f>
        <v>356</v>
      </c>
      <c r="O51" s="402">
        <f>353+3</f>
        <v>356</v>
      </c>
      <c r="P51" s="402">
        <v>356</v>
      </c>
      <c r="Q51" s="372">
        <v>498</v>
      </c>
      <c r="R51" s="407">
        <f>6752.39+21.66+21.89+21.86</f>
        <v>6817.8</v>
      </c>
      <c r="S51" s="410">
        <f>4883.9+16.42+16.55+16.44</f>
        <v>4933.3099999999995</v>
      </c>
      <c r="T51" s="372">
        <f t="shared" si="7"/>
        <v>177</v>
      </c>
      <c r="U51" s="405">
        <f t="shared" si="8"/>
        <v>3369.78</v>
      </c>
      <c r="V51" s="405">
        <f t="shared" si="9"/>
        <v>2439.1199999999994</v>
      </c>
      <c r="W51" s="372">
        <v>179</v>
      </c>
      <c r="X51" s="373">
        <v>3448.02</v>
      </c>
      <c r="Y51" s="373">
        <v>2494.19</v>
      </c>
      <c r="Z51" s="406"/>
      <c r="AA51" s="406"/>
      <c r="AB51" s="406"/>
      <c r="AC51" s="373">
        <f t="shared" si="10"/>
        <v>21.810000000000002</v>
      </c>
      <c r="AD51" s="407">
        <f t="shared" si="11"/>
        <v>21.810000000000002</v>
      </c>
      <c r="AE51" s="408"/>
      <c r="AF51" s="407">
        <f>87.22-21.66-21.89-21.86</f>
        <v>21.810000000000002</v>
      </c>
      <c r="AG51" s="408"/>
      <c r="AH51" s="406"/>
      <c r="AI51" s="375">
        <f t="shared" si="37"/>
        <v>6839.6100000000006</v>
      </c>
      <c r="AJ51" s="402"/>
      <c r="AK51" s="402">
        <v>2</v>
      </c>
      <c r="AL51" s="402">
        <v>2</v>
      </c>
      <c r="AM51" s="402">
        <v>1</v>
      </c>
      <c r="AN51" s="402"/>
      <c r="AO51" s="402">
        <v>1</v>
      </c>
      <c r="AP51" s="402">
        <v>4560</v>
      </c>
      <c r="AQ51" s="402"/>
      <c r="AR51" s="402">
        <v>231</v>
      </c>
      <c r="AS51" s="409">
        <v>365</v>
      </c>
      <c r="AT51" s="402">
        <v>1305</v>
      </c>
      <c r="AU51" s="402">
        <v>9331</v>
      </c>
      <c r="AV51" s="402"/>
      <c r="AW51" s="402">
        <v>9331</v>
      </c>
      <c r="AX51" s="402">
        <v>3276</v>
      </c>
      <c r="AY51" s="402">
        <v>223</v>
      </c>
      <c r="AZ51" s="402">
        <v>1169</v>
      </c>
      <c r="BA51" s="402">
        <v>1169</v>
      </c>
      <c r="BB51" s="402">
        <v>62</v>
      </c>
      <c r="BC51" s="402">
        <v>54</v>
      </c>
      <c r="BD51" s="402">
        <v>402</v>
      </c>
      <c r="BE51" s="402">
        <v>1120</v>
      </c>
      <c r="BF51" s="402">
        <v>1</v>
      </c>
      <c r="BG51" s="402">
        <v>8789</v>
      </c>
      <c r="BH51" s="402">
        <v>225</v>
      </c>
      <c r="BI51" s="402">
        <v>200</v>
      </c>
      <c r="BJ51" s="402"/>
      <c r="BK51" s="402"/>
      <c r="BL51" s="402"/>
      <c r="BM51" s="402">
        <f t="shared" si="38"/>
        <v>1</v>
      </c>
      <c r="BN51" s="402">
        <f t="shared" si="39"/>
        <v>6817.8</v>
      </c>
      <c r="BO51" s="402">
        <f t="shared" si="39"/>
        <v>4933.3099999999995</v>
      </c>
      <c r="BP51" s="402"/>
      <c r="BQ51" s="402"/>
      <c r="BR51" s="402"/>
      <c r="BS51" s="402"/>
      <c r="BT51" s="402"/>
      <c r="BU51" s="402"/>
      <c r="BV51" s="402"/>
      <c r="BW51" s="402"/>
      <c r="BX51" s="402"/>
      <c r="BY51" s="377">
        <v>1932.88</v>
      </c>
      <c r="BZ51" s="377">
        <v>1932.88</v>
      </c>
      <c r="CA51" s="378">
        <v>2270</v>
      </c>
      <c r="CB51" s="378">
        <f t="shared" si="1"/>
        <v>1078</v>
      </c>
      <c r="CC51" s="379" t="str">
        <f t="shared" si="24"/>
        <v>0</v>
      </c>
      <c r="CD51" s="380">
        <f t="shared" si="3"/>
        <v>0</v>
      </c>
      <c r="CE51" s="379">
        <f t="shared" si="4"/>
        <v>1</v>
      </c>
      <c r="CF51" s="380">
        <f t="shared" si="5"/>
        <v>9331</v>
      </c>
      <c r="CG51" s="380">
        <f t="shared" si="35"/>
        <v>1</v>
      </c>
      <c r="CH51" s="380">
        <f t="shared" si="36"/>
        <v>9331</v>
      </c>
      <c r="CI51" s="381">
        <v>68</v>
      </c>
      <c r="CJ51" s="382">
        <f t="shared" si="15"/>
        <v>1</v>
      </c>
      <c r="CK51" s="382">
        <f t="shared" si="16"/>
        <v>6817.8</v>
      </c>
      <c r="CL51" s="383">
        <f t="shared" si="17"/>
        <v>50.573792132359408</v>
      </c>
      <c r="CM51" s="382">
        <f t="shared" si="18"/>
        <v>1</v>
      </c>
      <c r="CN51" s="382">
        <f t="shared" si="19"/>
        <v>6839.6100000000006</v>
      </c>
      <c r="CO51" s="383">
        <f t="shared" si="20"/>
        <v>50.731401351831465</v>
      </c>
      <c r="CP51" s="185">
        <v>1</v>
      </c>
      <c r="CQ51" s="185">
        <v>0</v>
      </c>
      <c r="CR51" s="185">
        <v>0</v>
      </c>
      <c r="CS51" s="185">
        <v>0</v>
      </c>
      <c r="CT51" s="185">
        <v>1</v>
      </c>
      <c r="CU51" s="185">
        <v>0</v>
      </c>
      <c r="CV51" s="185">
        <v>0</v>
      </c>
      <c r="CW51" s="185">
        <v>1</v>
      </c>
      <c r="CX51" s="185">
        <v>0</v>
      </c>
      <c r="CY51" s="188">
        <v>353</v>
      </c>
      <c r="CZ51" s="387">
        <v>182</v>
      </c>
      <c r="DA51" s="188">
        <v>171</v>
      </c>
      <c r="DB51" s="185">
        <v>73</v>
      </c>
      <c r="DC51" s="185">
        <v>49</v>
      </c>
      <c r="DD51" s="400">
        <v>182</v>
      </c>
      <c r="DE51" s="185">
        <v>49</v>
      </c>
      <c r="DF51" s="185">
        <v>49</v>
      </c>
      <c r="DG51" s="400">
        <v>182</v>
      </c>
      <c r="DH51" s="185">
        <v>49</v>
      </c>
      <c r="DI51" s="185">
        <v>27</v>
      </c>
      <c r="DJ51" s="185">
        <v>23</v>
      </c>
      <c r="DK51" s="188">
        <v>171</v>
      </c>
      <c r="DL51" s="185">
        <v>23</v>
      </c>
      <c r="DM51" s="185">
        <v>23</v>
      </c>
      <c r="DN51" s="188">
        <v>171</v>
      </c>
      <c r="DO51" s="185">
        <v>23</v>
      </c>
      <c r="DP51" s="184">
        <f t="shared" si="6"/>
        <v>353</v>
      </c>
      <c r="DQ51" s="185">
        <v>353</v>
      </c>
      <c r="DR51" s="385"/>
    </row>
    <row r="52" spans="1:122" s="106" customFormat="1">
      <c r="A52" s="94" t="s">
        <v>98</v>
      </c>
      <c r="B52" s="361">
        <v>46</v>
      </c>
      <c r="C52" s="393" t="s">
        <v>137</v>
      </c>
      <c r="D52" s="401">
        <v>1965</v>
      </c>
      <c r="E52" s="395"/>
      <c r="F52" s="393" t="s">
        <v>106</v>
      </c>
      <c r="G52" s="402">
        <v>1</v>
      </c>
      <c r="H52" s="403">
        <v>5</v>
      </c>
      <c r="I52" s="395" t="s">
        <v>100</v>
      </c>
      <c r="J52" s="402">
        <v>13350</v>
      </c>
      <c r="K52" s="402">
        <v>977</v>
      </c>
      <c r="L52" s="402">
        <v>1122</v>
      </c>
      <c r="M52" s="402"/>
      <c r="N52" s="402">
        <f>128+1</f>
        <v>129</v>
      </c>
      <c r="O52" s="402">
        <f>128+1</f>
        <v>129</v>
      </c>
      <c r="P52" s="402">
        <v>129</v>
      </c>
      <c r="Q52" s="372">
        <v>129</v>
      </c>
      <c r="R52" s="407">
        <f>2393.1+23.4</f>
        <v>2416.5</v>
      </c>
      <c r="S52" s="407">
        <v>1712.26</v>
      </c>
      <c r="T52" s="372">
        <f t="shared" si="7"/>
        <v>11</v>
      </c>
      <c r="U52" s="405">
        <f t="shared" si="8"/>
        <v>214.09999999999991</v>
      </c>
      <c r="V52" s="405">
        <f t="shared" si="9"/>
        <v>145.79999999999995</v>
      </c>
      <c r="W52" s="372">
        <v>118</v>
      </c>
      <c r="X52" s="373">
        <v>2202.4</v>
      </c>
      <c r="Y52" s="373">
        <v>1566.46</v>
      </c>
      <c r="Z52" s="406"/>
      <c r="AA52" s="406"/>
      <c r="AB52" s="406"/>
      <c r="AC52" s="373">
        <f t="shared" si="10"/>
        <v>187.1</v>
      </c>
      <c r="AD52" s="407">
        <f t="shared" si="11"/>
        <v>187.1</v>
      </c>
      <c r="AE52" s="408"/>
      <c r="AF52" s="407">
        <f>210.5-23.4</f>
        <v>187.1</v>
      </c>
      <c r="AG52" s="408"/>
      <c r="AH52" s="406"/>
      <c r="AI52" s="375">
        <f t="shared" si="37"/>
        <v>2603.6</v>
      </c>
      <c r="AJ52" s="402"/>
      <c r="AK52" s="402"/>
      <c r="AL52" s="402">
        <v>3</v>
      </c>
      <c r="AM52" s="402">
        <v>1</v>
      </c>
      <c r="AN52" s="402"/>
      <c r="AO52" s="402">
        <v>1</v>
      </c>
      <c r="AP52" s="402">
        <v>2433</v>
      </c>
      <c r="AQ52" s="402"/>
      <c r="AR52" s="402">
        <v>225</v>
      </c>
      <c r="AS52" s="409">
        <v>299</v>
      </c>
      <c r="AT52" s="402">
        <v>376</v>
      </c>
      <c r="AU52" s="402">
        <v>1891</v>
      </c>
      <c r="AV52" s="402"/>
      <c r="AW52" s="402">
        <v>1891</v>
      </c>
      <c r="AX52" s="402"/>
      <c r="AY52" s="402">
        <v>121</v>
      </c>
      <c r="AZ52" s="402">
        <v>920</v>
      </c>
      <c r="BA52" s="402">
        <v>920</v>
      </c>
      <c r="BB52" s="402">
        <v>14</v>
      </c>
      <c r="BC52" s="402">
        <v>42</v>
      </c>
      <c r="BD52" s="402">
        <v>215</v>
      </c>
      <c r="BE52" s="402">
        <v>670</v>
      </c>
      <c r="BF52" s="402">
        <v>1</v>
      </c>
      <c r="BG52" s="402">
        <v>3932</v>
      </c>
      <c r="BH52" s="402">
        <v>101</v>
      </c>
      <c r="BI52" s="402"/>
      <c r="BJ52" s="402">
        <f>G52</f>
        <v>1</v>
      </c>
      <c r="BK52" s="402">
        <f>R52</f>
        <v>2416.5</v>
      </c>
      <c r="BL52" s="402">
        <f>S52</f>
        <v>1712.26</v>
      </c>
      <c r="BM52" s="402"/>
      <c r="BN52" s="402"/>
      <c r="BO52" s="402"/>
      <c r="BP52" s="402"/>
      <c r="BQ52" s="402"/>
      <c r="BR52" s="402"/>
      <c r="BS52" s="402"/>
      <c r="BT52" s="402"/>
      <c r="BU52" s="402"/>
      <c r="BV52" s="402"/>
      <c r="BW52" s="402"/>
      <c r="BX52" s="402">
        <f>AP52</f>
        <v>2433</v>
      </c>
      <c r="BY52" s="377">
        <v>601.1</v>
      </c>
      <c r="BZ52" s="377">
        <v>601.1</v>
      </c>
      <c r="CA52" s="378">
        <v>3363</v>
      </c>
      <c r="CB52" s="378">
        <f t="shared" si="1"/>
        <v>2386</v>
      </c>
      <c r="CC52" s="379" t="str">
        <f t="shared" si="24"/>
        <v>0</v>
      </c>
      <c r="CD52" s="380">
        <f t="shared" si="3"/>
        <v>0</v>
      </c>
      <c r="CE52" s="379">
        <f t="shared" si="4"/>
        <v>1</v>
      </c>
      <c r="CF52" s="380">
        <f t="shared" si="5"/>
        <v>1891</v>
      </c>
      <c r="CG52" s="380">
        <f t="shared" si="35"/>
        <v>1</v>
      </c>
      <c r="CH52" s="380">
        <f t="shared" si="36"/>
        <v>1891</v>
      </c>
      <c r="CI52" s="381">
        <v>66</v>
      </c>
      <c r="CJ52" s="382">
        <f t="shared" si="15"/>
        <v>1</v>
      </c>
      <c r="CK52" s="382">
        <f t="shared" si="16"/>
        <v>2416.5</v>
      </c>
      <c r="CL52" s="383">
        <f t="shared" si="17"/>
        <v>91.140078626112157</v>
      </c>
      <c r="CM52" s="382">
        <f t="shared" si="18"/>
        <v>1</v>
      </c>
      <c r="CN52" s="382">
        <f t="shared" si="19"/>
        <v>2603.6</v>
      </c>
      <c r="CO52" s="383">
        <f t="shared" si="20"/>
        <v>91.776770625288066</v>
      </c>
      <c r="CP52" s="185">
        <v>1</v>
      </c>
      <c r="CQ52" s="185">
        <v>0</v>
      </c>
      <c r="CR52" s="185">
        <v>0</v>
      </c>
      <c r="CS52" s="185">
        <v>0</v>
      </c>
      <c r="CT52" s="185">
        <v>1</v>
      </c>
      <c r="CU52" s="185">
        <v>0</v>
      </c>
      <c r="CV52" s="185">
        <v>0</v>
      </c>
      <c r="CW52" s="185">
        <v>1</v>
      </c>
      <c r="CX52" s="185">
        <v>0</v>
      </c>
      <c r="CY52" s="188">
        <v>128</v>
      </c>
      <c r="CZ52" s="387">
        <v>27</v>
      </c>
      <c r="DA52" s="188">
        <v>101</v>
      </c>
      <c r="DB52" s="185">
        <v>9</v>
      </c>
      <c r="DC52" s="185">
        <v>1</v>
      </c>
      <c r="DD52" s="400">
        <v>27</v>
      </c>
      <c r="DE52" s="185">
        <v>1</v>
      </c>
      <c r="DF52" s="185">
        <v>1</v>
      </c>
      <c r="DG52" s="400">
        <v>27</v>
      </c>
      <c r="DH52" s="185">
        <v>1</v>
      </c>
      <c r="DI52" s="185">
        <v>77</v>
      </c>
      <c r="DJ52" s="185">
        <v>0</v>
      </c>
      <c r="DK52" s="188">
        <v>101</v>
      </c>
      <c r="DL52" s="185">
        <v>0</v>
      </c>
      <c r="DM52" s="185">
        <v>0</v>
      </c>
      <c r="DN52" s="188">
        <v>101</v>
      </c>
      <c r="DO52" s="185">
        <v>0</v>
      </c>
      <c r="DP52" s="184">
        <f t="shared" si="6"/>
        <v>128</v>
      </c>
      <c r="DQ52" s="185">
        <v>128</v>
      </c>
      <c r="DR52" s="385"/>
    </row>
    <row r="53" spans="1:122" s="93" customFormat="1">
      <c r="A53" s="78" t="s">
        <v>98</v>
      </c>
      <c r="B53" s="361">
        <v>47</v>
      </c>
      <c r="C53" s="393" t="s">
        <v>138</v>
      </c>
      <c r="D53" s="401">
        <v>1978</v>
      </c>
      <c r="E53" s="395"/>
      <c r="F53" s="396" t="s">
        <v>107</v>
      </c>
      <c r="G53" s="402">
        <v>1</v>
      </c>
      <c r="H53" s="403">
        <v>9</v>
      </c>
      <c r="I53" s="395" t="s">
        <v>99</v>
      </c>
      <c r="J53" s="402">
        <v>28812</v>
      </c>
      <c r="K53" s="402">
        <v>1226</v>
      </c>
      <c r="L53" s="402">
        <v>1398</v>
      </c>
      <c r="M53" s="402"/>
      <c r="N53" s="402">
        <f>318+1+1</f>
        <v>320</v>
      </c>
      <c r="O53" s="402">
        <f>318+1+1</f>
        <v>320</v>
      </c>
      <c r="P53" s="402">
        <v>319</v>
      </c>
      <c r="Q53" s="372">
        <v>538</v>
      </c>
      <c r="R53" s="407">
        <f>6140.77+16.29+21.74</f>
        <v>6178.8</v>
      </c>
      <c r="S53" s="407">
        <f>4408.61+16.42</f>
        <v>4425.03</v>
      </c>
      <c r="T53" s="372">
        <f t="shared" si="7"/>
        <v>164</v>
      </c>
      <c r="U53" s="405">
        <f t="shared" si="8"/>
        <v>3129.38</v>
      </c>
      <c r="V53" s="405">
        <f t="shared" si="9"/>
        <v>2241.5199999999995</v>
      </c>
      <c r="W53" s="372">
        <v>156</v>
      </c>
      <c r="X53" s="373">
        <v>3049.42</v>
      </c>
      <c r="Y53" s="373">
        <v>2183.5100000000002</v>
      </c>
      <c r="Z53" s="406"/>
      <c r="AA53" s="406"/>
      <c r="AB53" s="406"/>
      <c r="AC53" s="373">
        <f t="shared" si="10"/>
        <v>42.790000000000006</v>
      </c>
      <c r="AD53" s="407">
        <f t="shared" si="11"/>
        <v>42.790000000000006</v>
      </c>
      <c r="AE53" s="408"/>
      <c r="AF53" s="407">
        <f>97.38-16.29-16.56-21.74</f>
        <v>42.790000000000006</v>
      </c>
      <c r="AG53" s="408"/>
      <c r="AH53" s="406"/>
      <c r="AI53" s="375">
        <f t="shared" si="37"/>
        <v>6221.59</v>
      </c>
      <c r="AJ53" s="402"/>
      <c r="AK53" s="402">
        <v>2</v>
      </c>
      <c r="AL53" s="402">
        <v>2</v>
      </c>
      <c r="AM53" s="402">
        <v>1</v>
      </c>
      <c r="AN53" s="402"/>
      <c r="AO53" s="402">
        <v>1</v>
      </c>
      <c r="AP53" s="402">
        <v>4300</v>
      </c>
      <c r="AQ53" s="402"/>
      <c r="AR53" s="402">
        <v>360</v>
      </c>
      <c r="AS53" s="409">
        <v>384</v>
      </c>
      <c r="AT53" s="402">
        <v>1305</v>
      </c>
      <c r="AU53" s="402">
        <v>9331</v>
      </c>
      <c r="AV53" s="402"/>
      <c r="AW53" s="402">
        <v>9331</v>
      </c>
      <c r="AX53" s="402">
        <v>3263</v>
      </c>
      <c r="AY53" s="402">
        <v>224</v>
      </c>
      <c r="AZ53" s="402">
        <v>1187</v>
      </c>
      <c r="BA53" s="402">
        <v>1187</v>
      </c>
      <c r="BB53" s="402">
        <v>70</v>
      </c>
      <c r="BC53" s="402">
        <v>54</v>
      </c>
      <c r="BD53" s="402">
        <v>386</v>
      </c>
      <c r="BE53" s="402">
        <v>1077</v>
      </c>
      <c r="BF53" s="402">
        <v>1</v>
      </c>
      <c r="BG53" s="402">
        <v>8789</v>
      </c>
      <c r="BH53" s="402">
        <v>225</v>
      </c>
      <c r="BI53" s="402">
        <v>200</v>
      </c>
      <c r="BJ53" s="402"/>
      <c r="BK53" s="402"/>
      <c r="BL53" s="402"/>
      <c r="BM53" s="402">
        <f>G53</f>
        <v>1</v>
      </c>
      <c r="BN53" s="402">
        <f>R53</f>
        <v>6178.8</v>
      </c>
      <c r="BO53" s="402">
        <f>S53</f>
        <v>4425.03</v>
      </c>
      <c r="BP53" s="402"/>
      <c r="BQ53" s="402"/>
      <c r="BR53" s="402"/>
      <c r="BS53" s="402"/>
      <c r="BT53" s="402"/>
      <c r="BU53" s="402"/>
      <c r="BV53" s="402"/>
      <c r="BW53" s="402">
        <v>20</v>
      </c>
      <c r="BX53" s="402"/>
      <c r="BY53" s="377">
        <v>1791.72</v>
      </c>
      <c r="BZ53" s="377">
        <v>1791.72</v>
      </c>
      <c r="CA53" s="378">
        <v>3048</v>
      </c>
      <c r="CB53" s="378">
        <f t="shared" si="1"/>
        <v>1822</v>
      </c>
      <c r="CC53" s="379" t="str">
        <f t="shared" si="24"/>
        <v>0</v>
      </c>
      <c r="CD53" s="380">
        <f t="shared" si="3"/>
        <v>0</v>
      </c>
      <c r="CE53" s="379">
        <f t="shared" si="4"/>
        <v>1</v>
      </c>
      <c r="CF53" s="380">
        <f t="shared" si="5"/>
        <v>9331</v>
      </c>
      <c r="CG53" s="380">
        <f t="shared" si="35"/>
        <v>1</v>
      </c>
      <c r="CH53" s="380">
        <f t="shared" si="36"/>
        <v>9331</v>
      </c>
      <c r="CI53" s="381">
        <v>77</v>
      </c>
      <c r="CJ53" s="382" t="str">
        <f t="shared" si="15"/>
        <v>0</v>
      </c>
      <c r="CK53" s="382" t="str">
        <f t="shared" si="16"/>
        <v>0</v>
      </c>
      <c r="CL53" s="383">
        <f t="shared" si="17"/>
        <v>49.352948792645826</v>
      </c>
      <c r="CM53" s="382" t="str">
        <f t="shared" si="18"/>
        <v>0</v>
      </c>
      <c r="CN53" s="382" t="str">
        <f t="shared" si="19"/>
        <v>0</v>
      </c>
      <c r="CO53" s="383">
        <f t="shared" si="20"/>
        <v>49.701282148132556</v>
      </c>
      <c r="CP53" s="185">
        <v>1</v>
      </c>
      <c r="CQ53" s="185">
        <v>0</v>
      </c>
      <c r="CR53" s="185">
        <v>0</v>
      </c>
      <c r="CS53" s="185">
        <v>1</v>
      </c>
      <c r="CT53" s="185">
        <v>2</v>
      </c>
      <c r="CU53" s="185">
        <v>0</v>
      </c>
      <c r="CV53" s="185">
        <v>0</v>
      </c>
      <c r="CW53" s="185">
        <v>1</v>
      </c>
      <c r="CX53" s="185">
        <v>0</v>
      </c>
      <c r="CY53" s="188">
        <v>319</v>
      </c>
      <c r="CZ53" s="387">
        <v>170</v>
      </c>
      <c r="DA53" s="188">
        <v>149</v>
      </c>
      <c r="DB53" s="185">
        <v>93</v>
      </c>
      <c r="DC53" s="185">
        <v>57</v>
      </c>
      <c r="DD53" s="400">
        <v>170</v>
      </c>
      <c r="DE53" s="185">
        <v>57</v>
      </c>
      <c r="DF53" s="185">
        <v>57</v>
      </c>
      <c r="DG53" s="400">
        <v>170</v>
      </c>
      <c r="DH53" s="185">
        <v>57</v>
      </c>
      <c r="DI53" s="185">
        <v>50</v>
      </c>
      <c r="DJ53" s="185">
        <v>39</v>
      </c>
      <c r="DK53" s="188">
        <v>149</v>
      </c>
      <c r="DL53" s="185">
        <v>39</v>
      </c>
      <c r="DM53" s="185">
        <v>39</v>
      </c>
      <c r="DN53" s="188">
        <v>149</v>
      </c>
      <c r="DO53" s="185">
        <v>39</v>
      </c>
      <c r="DP53" s="184">
        <f t="shared" si="6"/>
        <v>319</v>
      </c>
      <c r="DQ53" s="185">
        <v>319</v>
      </c>
      <c r="DR53" s="385"/>
    </row>
    <row r="54" spans="1:122" s="106" customFormat="1">
      <c r="A54" s="94" t="s">
        <v>98</v>
      </c>
      <c r="B54" s="361">
        <v>48</v>
      </c>
      <c r="C54" s="393" t="s">
        <v>139</v>
      </c>
      <c r="D54" s="401">
        <v>1964</v>
      </c>
      <c r="E54" s="395"/>
      <c r="F54" s="393" t="s">
        <v>106</v>
      </c>
      <c r="G54" s="402">
        <v>1</v>
      </c>
      <c r="H54" s="403">
        <v>5</v>
      </c>
      <c r="I54" s="395" t="s">
        <v>100</v>
      </c>
      <c r="J54" s="402">
        <v>14301</v>
      </c>
      <c r="K54" s="402">
        <v>1023</v>
      </c>
      <c r="L54" s="402">
        <v>1182</v>
      </c>
      <c r="M54" s="402"/>
      <c r="N54" s="402">
        <f>71+1+34</f>
        <v>106</v>
      </c>
      <c r="O54" s="402">
        <f>71+36+34</f>
        <v>141</v>
      </c>
      <c r="P54" s="402">
        <v>29</v>
      </c>
      <c r="Q54" s="372">
        <v>5</v>
      </c>
      <c r="R54" s="407">
        <f>1145.84+768.8+612.7</f>
        <v>2527.34</v>
      </c>
      <c r="S54" s="407">
        <v>1726.5</v>
      </c>
      <c r="T54" s="402">
        <f t="shared" si="7"/>
        <v>2</v>
      </c>
      <c r="U54" s="405">
        <f t="shared" si="8"/>
        <v>26.730000000000246</v>
      </c>
      <c r="V54" s="405">
        <f t="shared" si="9"/>
        <v>26.730000000000132</v>
      </c>
      <c r="W54" s="372">
        <v>103</v>
      </c>
      <c r="X54" s="373">
        <v>1731.81</v>
      </c>
      <c r="Y54" s="373">
        <v>1119.0899999999999</v>
      </c>
      <c r="Z54" s="402">
        <v>1</v>
      </c>
      <c r="AA54" s="406">
        <v>768.8</v>
      </c>
      <c r="AB54" s="406">
        <v>580.67999999999995</v>
      </c>
      <c r="AC54" s="373">
        <f t="shared" si="10"/>
        <v>288.63</v>
      </c>
      <c r="AD54" s="407">
        <f t="shared" si="11"/>
        <v>90.13</v>
      </c>
      <c r="AE54" s="408"/>
      <c r="AF54" s="407">
        <f>708.6-5.77-612.7</f>
        <v>90.13</v>
      </c>
      <c r="AG54" s="408">
        <f>961.53+5.77-768.8</f>
        <v>198.5</v>
      </c>
      <c r="AH54" s="406"/>
      <c r="AI54" s="375">
        <f t="shared" si="37"/>
        <v>2815.9700000000003</v>
      </c>
      <c r="AJ54" s="402"/>
      <c r="AK54" s="402"/>
      <c r="AL54" s="402">
        <v>2</v>
      </c>
      <c r="AM54" s="402">
        <v>1</v>
      </c>
      <c r="AN54" s="402"/>
      <c r="AO54" s="402">
        <v>1</v>
      </c>
      <c r="AP54" s="402">
        <v>2060</v>
      </c>
      <c r="AQ54" s="402"/>
      <c r="AR54" s="402">
        <v>306</v>
      </c>
      <c r="AS54" s="409">
        <v>270</v>
      </c>
      <c r="AT54" s="402">
        <v>582</v>
      </c>
      <c r="AU54" s="402">
        <v>2093</v>
      </c>
      <c r="AV54" s="402"/>
      <c r="AW54" s="402">
        <v>2093</v>
      </c>
      <c r="AX54" s="402"/>
      <c r="AY54" s="402">
        <v>114</v>
      </c>
      <c r="AZ54" s="402">
        <v>1000</v>
      </c>
      <c r="BA54" s="402">
        <v>1000</v>
      </c>
      <c r="BB54" s="402">
        <v>27</v>
      </c>
      <c r="BC54" s="402">
        <v>19</v>
      </c>
      <c r="BD54" s="402">
        <v>195</v>
      </c>
      <c r="BE54" s="402">
        <v>257</v>
      </c>
      <c r="BF54" s="402">
        <v>1</v>
      </c>
      <c r="BG54" s="402">
        <v>3932</v>
      </c>
      <c r="BH54" s="402">
        <v>101</v>
      </c>
      <c r="BI54" s="402"/>
      <c r="BJ54" s="402">
        <f>G54</f>
        <v>1</v>
      </c>
      <c r="BK54" s="402">
        <f>R54</f>
        <v>2527.34</v>
      </c>
      <c r="BL54" s="402">
        <f>S54</f>
        <v>1726.5</v>
      </c>
      <c r="BM54" s="402"/>
      <c r="BN54" s="402"/>
      <c r="BO54" s="402"/>
      <c r="BP54" s="402"/>
      <c r="BQ54" s="402"/>
      <c r="BR54" s="402"/>
      <c r="BS54" s="402"/>
      <c r="BT54" s="402"/>
      <c r="BU54" s="402"/>
      <c r="BV54" s="402"/>
      <c r="BW54" s="402"/>
      <c r="BX54" s="402">
        <f>AP54</f>
        <v>2060</v>
      </c>
      <c r="BY54" s="377">
        <v>847.27</v>
      </c>
      <c r="BZ54" s="377">
        <v>847.27</v>
      </c>
      <c r="CA54" s="378">
        <v>2692</v>
      </c>
      <c r="CB54" s="378">
        <f t="shared" si="1"/>
        <v>1669</v>
      </c>
      <c r="CC54" s="379" t="str">
        <f t="shared" si="24"/>
        <v>0</v>
      </c>
      <c r="CD54" s="380">
        <f t="shared" si="3"/>
        <v>0</v>
      </c>
      <c r="CE54" s="379">
        <f t="shared" si="4"/>
        <v>1</v>
      </c>
      <c r="CF54" s="380">
        <f t="shared" si="5"/>
        <v>2093</v>
      </c>
      <c r="CG54" s="380">
        <f t="shared" si="35"/>
        <v>1</v>
      </c>
      <c r="CH54" s="380">
        <f t="shared" si="36"/>
        <v>2093</v>
      </c>
      <c r="CI54" s="381">
        <v>49</v>
      </c>
      <c r="CJ54" s="382">
        <f t="shared" si="15"/>
        <v>1</v>
      </c>
      <c r="CK54" s="382">
        <f t="shared" si="16"/>
        <v>2527.34</v>
      </c>
      <c r="CL54" s="383">
        <f t="shared" si="17"/>
        <v>68.523032120727706</v>
      </c>
      <c r="CM54" s="382">
        <f t="shared" si="18"/>
        <v>1</v>
      </c>
      <c r="CN54" s="382">
        <f t="shared" si="19"/>
        <v>2815.9700000000003</v>
      </c>
      <c r="CO54" s="383">
        <f t="shared" si="20"/>
        <v>64.700263142007898</v>
      </c>
      <c r="CP54" s="185">
        <v>1</v>
      </c>
      <c r="CQ54" s="185">
        <v>0</v>
      </c>
      <c r="CR54" s="185">
        <v>0</v>
      </c>
      <c r="CS54" s="185">
        <v>0</v>
      </c>
      <c r="CT54" s="185">
        <v>1</v>
      </c>
      <c r="CU54" s="185">
        <v>0</v>
      </c>
      <c r="CV54" s="185">
        <v>0</v>
      </c>
      <c r="CW54" s="185">
        <v>0</v>
      </c>
      <c r="CX54" s="185">
        <v>0</v>
      </c>
      <c r="CY54" s="188">
        <v>106</v>
      </c>
      <c r="CZ54" s="387">
        <v>1</v>
      </c>
      <c r="DA54" s="188">
        <v>70</v>
      </c>
      <c r="DB54" s="185">
        <v>0</v>
      </c>
      <c r="DC54" s="185">
        <v>0</v>
      </c>
      <c r="DD54" s="185">
        <v>1</v>
      </c>
      <c r="DE54" s="185">
        <v>0</v>
      </c>
      <c r="DF54" s="185">
        <v>0</v>
      </c>
      <c r="DG54" s="185">
        <v>1</v>
      </c>
      <c r="DH54" s="185">
        <v>0</v>
      </c>
      <c r="DI54" s="185">
        <v>1</v>
      </c>
      <c r="DJ54" s="185">
        <v>0</v>
      </c>
      <c r="DK54" s="188">
        <v>70</v>
      </c>
      <c r="DL54" s="185">
        <v>0</v>
      </c>
      <c r="DM54" s="185">
        <v>0</v>
      </c>
      <c r="DN54" s="188">
        <v>70</v>
      </c>
      <c r="DO54" s="185">
        <v>0</v>
      </c>
      <c r="DP54" s="184">
        <f t="shared" si="6"/>
        <v>106</v>
      </c>
      <c r="DQ54" s="185">
        <v>71</v>
      </c>
      <c r="DR54" s="385"/>
    </row>
    <row r="55" spans="1:122" ht="16.149999999999999" hidden="1" customHeight="1" outlineLevel="1">
      <c r="A55" s="43"/>
      <c r="B55" s="411"/>
      <c r="C55" s="412"/>
      <c r="D55" s="413"/>
      <c r="E55" s="414"/>
      <c r="F55" s="414"/>
      <c r="G55" s="415"/>
      <c r="H55" s="414"/>
      <c r="I55" s="364"/>
      <c r="J55" s="416"/>
      <c r="K55" s="416"/>
      <c r="L55" s="416"/>
      <c r="M55" s="416"/>
      <c r="N55" s="416"/>
      <c r="O55" s="416"/>
      <c r="P55" s="416"/>
      <c r="Q55" s="416"/>
      <c r="R55" s="417"/>
      <c r="S55" s="417"/>
      <c r="T55" s="416"/>
      <c r="U55" s="418"/>
      <c r="V55" s="418"/>
      <c r="W55" s="419"/>
      <c r="X55" s="420"/>
      <c r="Y55" s="420"/>
      <c r="Z55" s="421"/>
      <c r="AA55" s="421"/>
      <c r="AB55" s="421"/>
      <c r="AC55" s="421"/>
      <c r="AD55" s="417"/>
      <c r="AE55" s="422"/>
      <c r="AF55" s="422"/>
      <c r="AG55" s="422"/>
      <c r="AH55" s="422"/>
      <c r="AI55" s="375"/>
      <c r="AJ55" s="416"/>
      <c r="AK55" s="416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BA55" s="416"/>
      <c r="BB55" s="416"/>
      <c r="BC55" s="416"/>
      <c r="BD55" s="416"/>
      <c r="BE55" s="416"/>
      <c r="BF55" s="416"/>
      <c r="BG55" s="416"/>
      <c r="BH55" s="416"/>
      <c r="BI55" s="416"/>
      <c r="BJ55" s="416"/>
      <c r="BK55" s="416"/>
      <c r="BL55" s="416"/>
      <c r="BM55" s="416"/>
      <c r="BN55" s="416"/>
      <c r="BO55" s="416"/>
      <c r="BP55" s="416"/>
      <c r="BQ55" s="416"/>
      <c r="BR55" s="416"/>
      <c r="BS55" s="416"/>
      <c r="BT55" s="416"/>
      <c r="BU55" s="416"/>
      <c r="BV55" s="416"/>
      <c r="BW55" s="416"/>
      <c r="BX55" s="416"/>
      <c r="BY55" s="423"/>
      <c r="BZ55" s="423"/>
      <c r="CI55" s="356"/>
      <c r="CJ55" s="356"/>
      <c r="CK55" s="356"/>
      <c r="CP55" s="356"/>
      <c r="CQ55" s="356"/>
      <c r="CR55" s="356"/>
      <c r="CS55" s="356"/>
      <c r="CT55" s="356"/>
      <c r="CU55" s="356"/>
      <c r="CV55" s="356"/>
      <c r="CW55" s="356"/>
      <c r="CX55" s="356"/>
      <c r="CY55" s="356"/>
      <c r="CZ55" s="356"/>
      <c r="DA55" s="356"/>
      <c r="DB55" s="356"/>
      <c r="DC55" s="356"/>
      <c r="DD55" s="356"/>
      <c r="DE55" s="356"/>
      <c r="DF55" s="356"/>
      <c r="DG55" s="356"/>
      <c r="DH55" s="356"/>
      <c r="DI55" s="356"/>
      <c r="DJ55" s="356"/>
      <c r="DK55" s="356"/>
      <c r="DL55" s="356"/>
      <c r="DM55" s="356"/>
      <c r="DN55" s="356"/>
      <c r="DO55" s="356"/>
      <c r="DP55" s="356"/>
      <c r="DQ55" s="356"/>
    </row>
    <row r="56" spans="1:122" ht="13.15" hidden="1" customHeight="1" outlineLevel="1">
      <c r="A56" s="41"/>
      <c r="B56" s="424"/>
      <c r="C56" s="356"/>
      <c r="D56" s="356"/>
      <c r="E56" s="356"/>
      <c r="F56" s="356"/>
      <c r="G56" s="356"/>
      <c r="H56" s="424"/>
      <c r="I56" s="424"/>
      <c r="J56" s="356"/>
      <c r="K56" s="356"/>
      <c r="L56" s="356"/>
      <c r="M56" s="356"/>
      <c r="N56" s="356"/>
      <c r="O56" s="356"/>
      <c r="P56" s="356"/>
      <c r="Q56" s="356"/>
      <c r="R56" s="425"/>
      <c r="S56" s="425"/>
      <c r="T56" s="356"/>
      <c r="U56" s="356"/>
      <c r="V56" s="356"/>
      <c r="W56" s="356"/>
      <c r="X56" s="426"/>
      <c r="Y56" s="426"/>
      <c r="Z56" s="356"/>
      <c r="AA56" s="356"/>
      <c r="AB56" s="356"/>
      <c r="AC56" s="356"/>
      <c r="AD56" s="425"/>
      <c r="AE56" s="356"/>
      <c r="AF56" s="356"/>
      <c r="AG56" s="356"/>
      <c r="AH56" s="356"/>
      <c r="AI56" s="426"/>
      <c r="AJ56" s="356"/>
      <c r="AK56" s="356"/>
      <c r="AL56" s="356"/>
      <c r="AM56" s="356"/>
      <c r="AN56" s="356"/>
      <c r="AO56" s="356"/>
      <c r="AP56" s="356"/>
      <c r="AQ56" s="356"/>
      <c r="AR56" s="356"/>
      <c r="AS56" s="424"/>
      <c r="AT56" s="356"/>
      <c r="AU56" s="356"/>
      <c r="AV56" s="356"/>
      <c r="AW56" s="356"/>
      <c r="AX56" s="356"/>
      <c r="AY56" s="356"/>
      <c r="AZ56" s="356"/>
      <c r="BA56" s="356"/>
      <c r="BB56" s="356"/>
      <c r="BC56" s="356"/>
      <c r="BD56" s="356"/>
      <c r="BE56" s="356"/>
      <c r="BF56" s="356"/>
      <c r="BG56" s="356"/>
      <c r="BH56" s="356"/>
      <c r="BI56" s="356"/>
      <c r="BJ56" s="356"/>
      <c r="BK56" s="356"/>
      <c r="BL56" s="356"/>
      <c r="BM56" s="356"/>
      <c r="BN56" s="356"/>
      <c r="BO56" s="356"/>
      <c r="BP56" s="356"/>
      <c r="BQ56" s="356"/>
      <c r="BR56" s="356"/>
      <c r="BS56" s="356"/>
      <c r="BT56" s="356"/>
      <c r="BU56" s="356"/>
      <c r="BV56" s="356"/>
      <c r="BW56" s="356"/>
      <c r="BX56" s="356"/>
      <c r="CI56" s="356"/>
      <c r="CJ56" s="356"/>
      <c r="CK56" s="356"/>
      <c r="CP56" s="356"/>
      <c r="CQ56" s="356"/>
      <c r="CR56" s="356"/>
      <c r="CS56" s="356"/>
      <c r="CT56" s="356"/>
      <c r="CU56" s="356"/>
      <c r="CV56" s="356"/>
      <c r="CW56" s="356"/>
      <c r="CX56" s="356"/>
      <c r="CY56" s="356"/>
      <c r="CZ56" s="356"/>
      <c r="DA56" s="356"/>
      <c r="DB56" s="356"/>
      <c r="DC56" s="356"/>
      <c r="DD56" s="356"/>
      <c r="DE56" s="356"/>
      <c r="DF56" s="356"/>
      <c r="DG56" s="356"/>
      <c r="DH56" s="356"/>
      <c r="DI56" s="356"/>
      <c r="DJ56" s="356"/>
      <c r="DK56" s="356"/>
      <c r="DL56" s="356"/>
      <c r="DM56" s="356"/>
      <c r="DN56" s="356"/>
      <c r="DO56" s="356"/>
      <c r="DP56" s="356"/>
      <c r="DQ56" s="356"/>
    </row>
    <row r="57" spans="1:122" hidden="1" outlineLevel="1">
      <c r="A57" s="41"/>
      <c r="B57" s="424"/>
      <c r="C57" s="356"/>
      <c r="D57" s="356"/>
      <c r="E57" s="356"/>
      <c r="F57" s="356"/>
      <c r="G57" s="356"/>
      <c r="H57" s="424"/>
      <c r="I57" s="424"/>
      <c r="J57" s="356"/>
      <c r="K57" s="356"/>
      <c r="L57" s="356"/>
      <c r="M57" s="356"/>
      <c r="N57" s="356"/>
      <c r="O57" s="356"/>
      <c r="P57" s="356"/>
      <c r="Q57" s="356"/>
      <c r="R57" s="425"/>
      <c r="S57" s="425"/>
      <c r="T57" s="356"/>
      <c r="U57" s="356"/>
      <c r="V57" s="356"/>
      <c r="W57" s="356"/>
      <c r="X57" s="426"/>
      <c r="Y57" s="426"/>
      <c r="Z57" s="356"/>
      <c r="AA57" s="356"/>
      <c r="AB57" s="356"/>
      <c r="AC57" s="356"/>
      <c r="AD57" s="425"/>
      <c r="AE57" s="356"/>
      <c r="AF57" s="356"/>
      <c r="AG57" s="356"/>
      <c r="AH57" s="356"/>
      <c r="AI57" s="426"/>
      <c r="AJ57" s="356"/>
      <c r="AK57" s="356"/>
      <c r="AL57" s="356"/>
      <c r="AM57" s="356"/>
      <c r="AN57" s="356"/>
      <c r="AO57" s="356"/>
      <c r="AP57" s="356"/>
      <c r="AQ57" s="356"/>
      <c r="AR57" s="356"/>
      <c r="AS57" s="424"/>
      <c r="AT57" s="356"/>
      <c r="AU57" s="356"/>
      <c r="AV57" s="356"/>
      <c r="AW57" s="356"/>
      <c r="AX57" s="356"/>
      <c r="AY57" s="356"/>
      <c r="AZ57" s="356"/>
      <c r="BA57" s="356"/>
      <c r="BB57" s="356"/>
      <c r="BC57" s="356"/>
      <c r="BD57" s="356"/>
      <c r="BE57" s="356"/>
      <c r="BF57" s="356"/>
      <c r="BG57" s="356"/>
      <c r="BH57" s="356"/>
      <c r="BI57" s="356"/>
      <c r="BJ57" s="356"/>
      <c r="BK57" s="356"/>
      <c r="BL57" s="356"/>
      <c r="BM57" s="356"/>
      <c r="BN57" s="356"/>
      <c r="BO57" s="356"/>
      <c r="BP57" s="356"/>
      <c r="BQ57" s="356"/>
      <c r="BR57" s="356"/>
      <c r="BS57" s="356"/>
      <c r="BT57" s="356"/>
      <c r="BU57" s="356"/>
      <c r="BV57" s="356"/>
      <c r="BW57" s="356"/>
      <c r="BX57" s="356"/>
      <c r="CI57" s="356"/>
      <c r="CJ57" s="356"/>
      <c r="CK57" s="356"/>
      <c r="CP57" s="356"/>
      <c r="CQ57" s="356"/>
      <c r="CR57" s="356"/>
      <c r="CS57" s="356"/>
      <c r="CT57" s="356"/>
      <c r="CU57" s="356"/>
      <c r="CV57" s="356"/>
      <c r="CW57" s="356"/>
      <c r="CX57" s="356"/>
      <c r="CY57" s="356"/>
      <c r="CZ57" s="356"/>
      <c r="DA57" s="356"/>
      <c r="DB57" s="356"/>
      <c r="DC57" s="356"/>
      <c r="DD57" s="356"/>
      <c r="DE57" s="356"/>
      <c r="DF57" s="356"/>
      <c r="DG57" s="356"/>
      <c r="DH57" s="356"/>
      <c r="DI57" s="356"/>
      <c r="DJ57" s="356"/>
      <c r="DK57" s="356"/>
      <c r="DL57" s="356"/>
      <c r="DM57" s="356"/>
      <c r="DN57" s="356"/>
      <c r="DO57" s="356"/>
      <c r="DP57" s="356"/>
      <c r="DQ57" s="356"/>
    </row>
    <row r="58" spans="1:122" hidden="1" outlineLevel="1">
      <c r="A58" s="41"/>
      <c r="B58" s="424"/>
      <c r="C58" s="356"/>
      <c r="D58" s="356"/>
      <c r="E58" s="356"/>
      <c r="F58" s="356"/>
      <c r="G58" s="356"/>
      <c r="H58" s="424"/>
      <c r="I58" s="424"/>
      <c r="J58" s="356"/>
      <c r="K58" s="356"/>
      <c r="L58" s="356"/>
      <c r="M58" s="356"/>
      <c r="N58" s="356"/>
      <c r="O58" s="356"/>
      <c r="P58" s="356"/>
      <c r="Q58" s="356"/>
      <c r="R58" s="425"/>
      <c r="S58" s="425"/>
      <c r="T58" s="356"/>
      <c r="U58" s="356"/>
      <c r="V58" s="356"/>
      <c r="W58" s="356"/>
      <c r="X58" s="426"/>
      <c r="Y58" s="426"/>
      <c r="Z58" s="356"/>
      <c r="AA58" s="356"/>
      <c r="AB58" s="356"/>
      <c r="AC58" s="356"/>
      <c r="AD58" s="425"/>
      <c r="AE58" s="356"/>
      <c r="AF58" s="356"/>
      <c r="AG58" s="356"/>
      <c r="AH58" s="356"/>
      <c r="AI58" s="426"/>
      <c r="AJ58" s="356"/>
      <c r="AK58" s="356"/>
      <c r="AL58" s="356"/>
      <c r="AM58" s="356"/>
      <c r="AN58" s="356"/>
      <c r="AO58" s="356"/>
      <c r="AP58" s="356"/>
      <c r="AQ58" s="356"/>
      <c r="AR58" s="356"/>
      <c r="AS58" s="424"/>
      <c r="AT58" s="356"/>
      <c r="AU58" s="356"/>
      <c r="AV58" s="356"/>
      <c r="AW58" s="356"/>
      <c r="AX58" s="356"/>
      <c r="AY58" s="356"/>
      <c r="AZ58" s="356"/>
      <c r="BA58" s="356"/>
      <c r="BB58" s="356"/>
      <c r="BC58" s="356"/>
      <c r="BD58" s="356"/>
      <c r="BE58" s="356"/>
      <c r="BF58" s="356"/>
      <c r="BG58" s="356"/>
      <c r="BH58" s="356"/>
      <c r="BI58" s="356"/>
      <c r="BJ58" s="356"/>
      <c r="BK58" s="356"/>
      <c r="BL58" s="356"/>
      <c r="BM58" s="356"/>
      <c r="BN58" s="356"/>
      <c r="BO58" s="356"/>
      <c r="BP58" s="356"/>
      <c r="BQ58" s="356"/>
      <c r="BR58" s="356"/>
      <c r="BS58" s="356"/>
      <c r="BT58" s="356"/>
      <c r="BU58" s="356"/>
      <c r="BV58" s="356"/>
      <c r="BW58" s="356"/>
      <c r="BX58" s="356"/>
      <c r="CI58" s="356"/>
      <c r="CJ58" s="356"/>
      <c r="CK58" s="356"/>
      <c r="CP58" s="356"/>
      <c r="CQ58" s="356"/>
      <c r="CR58" s="356"/>
      <c r="CS58" s="356"/>
      <c r="CT58" s="356"/>
      <c r="CU58" s="356"/>
      <c r="CV58" s="356"/>
      <c r="CW58" s="356"/>
      <c r="CX58" s="356"/>
      <c r="CY58" s="356"/>
      <c r="CZ58" s="356"/>
      <c r="DA58" s="356"/>
      <c r="DB58" s="356"/>
      <c r="DC58" s="356"/>
      <c r="DD58" s="356"/>
      <c r="DE58" s="356"/>
      <c r="DF58" s="356"/>
      <c r="DG58" s="356"/>
      <c r="DH58" s="356"/>
      <c r="DI58" s="356"/>
      <c r="DJ58" s="356"/>
      <c r="DK58" s="356"/>
      <c r="DL58" s="356"/>
      <c r="DM58" s="356"/>
      <c r="DN58" s="356"/>
      <c r="DO58" s="356"/>
      <c r="DP58" s="356"/>
      <c r="DQ58" s="356"/>
    </row>
    <row r="59" spans="1:122" hidden="1" outlineLevel="1">
      <c r="A59" s="41"/>
      <c r="B59" s="424"/>
      <c r="C59" s="356"/>
      <c r="D59" s="356"/>
      <c r="E59" s="356"/>
      <c r="F59" s="356"/>
      <c r="G59" s="356"/>
      <c r="H59" s="424"/>
      <c r="I59" s="424"/>
      <c r="J59" s="356"/>
      <c r="K59" s="356"/>
      <c r="L59" s="356"/>
      <c r="M59" s="356"/>
      <c r="N59" s="356"/>
      <c r="O59" s="356"/>
      <c r="P59" s="356"/>
      <c r="Q59" s="356"/>
      <c r="R59" s="425"/>
      <c r="S59" s="425"/>
      <c r="T59" s="356"/>
      <c r="U59" s="356"/>
      <c r="V59" s="356"/>
      <c r="W59" s="356"/>
      <c r="X59" s="426"/>
      <c r="Y59" s="426"/>
      <c r="Z59" s="356"/>
      <c r="AA59" s="356"/>
      <c r="AB59" s="356"/>
      <c r="AC59" s="356"/>
      <c r="AD59" s="425"/>
      <c r="AE59" s="356"/>
      <c r="AF59" s="356"/>
      <c r="AG59" s="356"/>
      <c r="AH59" s="356"/>
      <c r="AI59" s="426"/>
      <c r="AJ59" s="356"/>
      <c r="AK59" s="356"/>
      <c r="AL59" s="356"/>
      <c r="AM59" s="356"/>
      <c r="AN59" s="356"/>
      <c r="AO59" s="356"/>
      <c r="AP59" s="356"/>
      <c r="AQ59" s="356"/>
      <c r="AR59" s="356"/>
      <c r="AS59" s="424"/>
      <c r="AT59" s="356"/>
      <c r="AU59" s="356"/>
      <c r="AV59" s="356"/>
      <c r="AW59" s="356"/>
      <c r="AX59" s="356"/>
      <c r="AY59" s="356"/>
      <c r="AZ59" s="356"/>
      <c r="BA59" s="356"/>
      <c r="BB59" s="356"/>
      <c r="BC59" s="356"/>
      <c r="BD59" s="356"/>
      <c r="BE59" s="356"/>
      <c r="BF59" s="356"/>
      <c r="BG59" s="356"/>
      <c r="BH59" s="356"/>
      <c r="BI59" s="356"/>
      <c r="BJ59" s="356"/>
      <c r="BK59" s="356"/>
      <c r="BL59" s="356"/>
      <c r="BM59" s="356"/>
      <c r="BN59" s="356"/>
      <c r="BO59" s="356"/>
      <c r="BP59" s="356"/>
      <c r="BQ59" s="356"/>
      <c r="BR59" s="356"/>
      <c r="BS59" s="356"/>
      <c r="BT59" s="356"/>
      <c r="BU59" s="356"/>
      <c r="BV59" s="356"/>
      <c r="BW59" s="356"/>
      <c r="BX59" s="356"/>
      <c r="CI59" s="356"/>
      <c r="CJ59" s="356"/>
      <c r="CK59" s="356"/>
      <c r="CP59" s="356"/>
      <c r="CQ59" s="356"/>
      <c r="CR59" s="356"/>
      <c r="CS59" s="356"/>
      <c r="CT59" s="356"/>
      <c r="CU59" s="356"/>
      <c r="CV59" s="356"/>
      <c r="CW59" s="356"/>
      <c r="CX59" s="356"/>
      <c r="CY59" s="356"/>
      <c r="CZ59" s="356"/>
      <c r="DA59" s="356"/>
      <c r="DB59" s="356"/>
      <c r="DC59" s="356"/>
      <c r="DD59" s="356"/>
      <c r="DE59" s="356"/>
      <c r="DF59" s="356"/>
      <c r="DG59" s="356"/>
      <c r="DH59" s="356"/>
      <c r="DI59" s="356"/>
      <c r="DJ59" s="356"/>
      <c r="DK59" s="356"/>
      <c r="DL59" s="356"/>
      <c r="DM59" s="356"/>
      <c r="DN59" s="356"/>
      <c r="DO59" s="356"/>
      <c r="DP59" s="356"/>
      <c r="DQ59" s="356"/>
    </row>
    <row r="60" spans="1:122" hidden="1" outlineLevel="1">
      <c r="A60" s="41"/>
      <c r="B60" s="424"/>
      <c r="C60" s="356"/>
      <c r="D60" s="356"/>
      <c r="E60" s="356"/>
      <c r="F60" s="356"/>
      <c r="G60" s="356"/>
      <c r="H60" s="424"/>
      <c r="I60" s="424"/>
      <c r="J60" s="356"/>
      <c r="K60" s="356"/>
      <c r="L60" s="356"/>
      <c r="M60" s="356"/>
      <c r="N60" s="356"/>
      <c r="O60" s="356"/>
      <c r="P60" s="356"/>
      <c r="Q60" s="356"/>
      <c r="R60" s="425"/>
      <c r="S60" s="425"/>
      <c r="T60" s="356"/>
      <c r="U60" s="356"/>
      <c r="V60" s="356"/>
      <c r="W60" s="356"/>
      <c r="X60" s="426"/>
      <c r="Y60" s="426"/>
      <c r="Z60" s="356"/>
      <c r="AA60" s="356"/>
      <c r="AB60" s="356"/>
      <c r="AC60" s="356"/>
      <c r="AD60" s="425"/>
      <c r="AE60" s="356"/>
      <c r="AF60" s="356"/>
      <c r="AG60" s="356"/>
      <c r="AH60" s="356"/>
      <c r="AI60" s="426"/>
      <c r="AJ60" s="356"/>
      <c r="AK60" s="356"/>
      <c r="AL60" s="356"/>
      <c r="AM60" s="356"/>
      <c r="AN60" s="356"/>
      <c r="AO60" s="356"/>
      <c r="AP60" s="356"/>
      <c r="AQ60" s="356"/>
      <c r="AR60" s="356"/>
      <c r="AS60" s="424"/>
      <c r="AT60" s="356"/>
      <c r="AU60" s="356"/>
      <c r="AV60" s="356"/>
      <c r="AW60" s="356"/>
      <c r="AX60" s="356"/>
      <c r="AY60" s="356"/>
      <c r="AZ60" s="356"/>
      <c r="BA60" s="356"/>
      <c r="BB60" s="356"/>
      <c r="BC60" s="356"/>
      <c r="BD60" s="356"/>
      <c r="BE60" s="356"/>
      <c r="BF60" s="356"/>
      <c r="BG60" s="356"/>
      <c r="BH60" s="356"/>
      <c r="BI60" s="356"/>
      <c r="BJ60" s="356"/>
      <c r="BK60" s="356"/>
      <c r="BL60" s="356"/>
      <c r="BM60" s="356"/>
      <c r="BN60" s="356"/>
      <c r="BO60" s="356"/>
      <c r="BP60" s="356"/>
      <c r="BQ60" s="356"/>
      <c r="BR60" s="356"/>
      <c r="BS60" s="356"/>
      <c r="BT60" s="356"/>
      <c r="BU60" s="356"/>
      <c r="BV60" s="356"/>
      <c r="BW60" s="356"/>
      <c r="BX60" s="356"/>
      <c r="CI60" s="356"/>
      <c r="CJ60" s="356"/>
      <c r="CK60" s="356"/>
      <c r="CP60" s="356"/>
      <c r="CQ60" s="356"/>
      <c r="CR60" s="356"/>
      <c r="CS60" s="356"/>
      <c r="CT60" s="356"/>
      <c r="CU60" s="356"/>
      <c r="CV60" s="356"/>
      <c r="CW60" s="356"/>
      <c r="CX60" s="356"/>
      <c r="CY60" s="356"/>
      <c r="CZ60" s="356"/>
      <c r="DA60" s="356"/>
      <c r="DB60" s="356"/>
      <c r="DC60" s="356"/>
      <c r="DD60" s="356"/>
      <c r="DE60" s="356"/>
      <c r="DF60" s="356"/>
      <c r="DG60" s="356"/>
      <c r="DH60" s="356"/>
      <c r="DI60" s="356"/>
      <c r="DJ60" s="356"/>
      <c r="DK60" s="356"/>
      <c r="DL60" s="356"/>
      <c r="DM60" s="356"/>
      <c r="DN60" s="356"/>
      <c r="DO60" s="356"/>
      <c r="DP60" s="356"/>
      <c r="DQ60" s="356"/>
    </row>
    <row r="61" spans="1:122" hidden="1" outlineLevel="1">
      <c r="A61" s="41"/>
      <c r="B61" s="424"/>
      <c r="C61" s="356"/>
      <c r="D61" s="356"/>
      <c r="E61" s="356"/>
      <c r="F61" s="356"/>
      <c r="G61" s="356"/>
      <c r="H61" s="424"/>
      <c r="I61" s="424"/>
      <c r="J61" s="356"/>
      <c r="K61" s="356"/>
      <c r="L61" s="356"/>
      <c r="M61" s="356"/>
      <c r="N61" s="356"/>
      <c r="O61" s="356"/>
      <c r="P61" s="356"/>
      <c r="Q61" s="356"/>
      <c r="R61" s="425"/>
      <c r="S61" s="425"/>
      <c r="T61" s="356"/>
      <c r="U61" s="356"/>
      <c r="V61" s="356"/>
      <c r="W61" s="356"/>
      <c r="X61" s="426"/>
      <c r="Y61" s="426"/>
      <c r="Z61" s="356"/>
      <c r="AA61" s="356"/>
      <c r="AB61" s="356"/>
      <c r="AC61" s="356"/>
      <c r="AD61" s="425"/>
      <c r="AE61" s="356"/>
      <c r="AF61" s="356"/>
      <c r="AG61" s="356"/>
      <c r="AH61" s="356"/>
      <c r="AI61" s="426"/>
      <c r="AJ61" s="356"/>
      <c r="AK61" s="356"/>
      <c r="AL61" s="356"/>
      <c r="AM61" s="356"/>
      <c r="AN61" s="356"/>
      <c r="AO61" s="356"/>
      <c r="AP61" s="356"/>
      <c r="AQ61" s="356"/>
      <c r="AR61" s="356"/>
      <c r="AS61" s="424"/>
      <c r="AT61" s="356"/>
      <c r="AU61" s="356"/>
      <c r="AV61" s="356"/>
      <c r="AW61" s="356"/>
      <c r="AX61" s="356"/>
      <c r="AY61" s="356"/>
      <c r="AZ61" s="356"/>
      <c r="BA61" s="356"/>
      <c r="BB61" s="356"/>
      <c r="BC61" s="356"/>
      <c r="BD61" s="356"/>
      <c r="BE61" s="356"/>
      <c r="BF61" s="356"/>
      <c r="BG61" s="356"/>
      <c r="BH61" s="356"/>
      <c r="BI61" s="356"/>
      <c r="BJ61" s="356"/>
      <c r="BK61" s="356"/>
      <c r="BL61" s="356"/>
      <c r="BM61" s="356"/>
      <c r="BN61" s="356"/>
      <c r="BO61" s="356"/>
      <c r="BP61" s="356"/>
      <c r="BQ61" s="356"/>
      <c r="BR61" s="356"/>
      <c r="BS61" s="356"/>
      <c r="BT61" s="356"/>
      <c r="BU61" s="356"/>
      <c r="BV61" s="356"/>
      <c r="BW61" s="356"/>
      <c r="BX61" s="356"/>
      <c r="CI61" s="356"/>
      <c r="CJ61" s="356"/>
      <c r="CK61" s="356"/>
      <c r="CP61" s="356"/>
      <c r="CQ61" s="356"/>
      <c r="CR61" s="356"/>
      <c r="CS61" s="356"/>
      <c r="CT61" s="356"/>
      <c r="CU61" s="356"/>
      <c r="CV61" s="356"/>
      <c r="CW61" s="356"/>
      <c r="CX61" s="356"/>
      <c r="CY61" s="356"/>
      <c r="CZ61" s="356"/>
      <c r="DA61" s="356"/>
      <c r="DB61" s="356"/>
      <c r="DC61" s="356"/>
      <c r="DD61" s="356"/>
      <c r="DE61" s="356"/>
      <c r="DF61" s="356"/>
      <c r="DG61" s="356"/>
      <c r="DH61" s="356"/>
      <c r="DI61" s="356"/>
      <c r="DJ61" s="356"/>
      <c r="DK61" s="356"/>
      <c r="DL61" s="356"/>
      <c r="DM61" s="356"/>
      <c r="DN61" s="356"/>
      <c r="DO61" s="356"/>
      <c r="DP61" s="356"/>
      <c r="DQ61" s="356"/>
    </row>
    <row r="62" spans="1:122" hidden="1" outlineLevel="1">
      <c r="A62" s="41"/>
      <c r="B62" s="424"/>
      <c r="C62" s="356"/>
      <c r="D62" s="356"/>
      <c r="E62" s="356"/>
      <c r="F62" s="356"/>
      <c r="G62" s="356"/>
      <c r="H62" s="424"/>
      <c r="I62" s="424"/>
      <c r="J62" s="356"/>
      <c r="K62" s="356"/>
      <c r="L62" s="356"/>
      <c r="M62" s="356"/>
      <c r="N62" s="356"/>
      <c r="O62" s="356"/>
      <c r="P62" s="356"/>
      <c r="Q62" s="356"/>
      <c r="R62" s="425"/>
      <c r="S62" s="425"/>
      <c r="T62" s="356"/>
      <c r="U62" s="356"/>
      <c r="V62" s="356"/>
      <c r="W62" s="356"/>
      <c r="X62" s="426"/>
      <c r="Y62" s="426"/>
      <c r="Z62" s="356"/>
      <c r="AA62" s="356"/>
      <c r="AB62" s="356"/>
      <c r="AC62" s="356"/>
      <c r="AD62" s="425"/>
      <c r="AE62" s="356"/>
      <c r="AF62" s="356"/>
      <c r="AG62" s="356"/>
      <c r="AH62" s="356"/>
      <c r="AI62" s="426"/>
      <c r="AJ62" s="356"/>
      <c r="AK62" s="356"/>
      <c r="AL62" s="356"/>
      <c r="AM62" s="356"/>
      <c r="AN62" s="356"/>
      <c r="AO62" s="356"/>
      <c r="AP62" s="356"/>
      <c r="AQ62" s="356"/>
      <c r="AR62" s="356"/>
      <c r="AS62" s="424"/>
      <c r="AT62" s="356"/>
      <c r="AU62" s="356"/>
      <c r="AV62" s="356"/>
      <c r="AW62" s="356"/>
      <c r="AX62" s="356"/>
      <c r="AY62" s="356"/>
      <c r="AZ62" s="356"/>
      <c r="BA62" s="356"/>
      <c r="BB62" s="356"/>
      <c r="BC62" s="356"/>
      <c r="BD62" s="356"/>
      <c r="BE62" s="356"/>
      <c r="BF62" s="356"/>
      <c r="BG62" s="356"/>
      <c r="BH62" s="356"/>
      <c r="BI62" s="356"/>
      <c r="BJ62" s="356"/>
      <c r="BK62" s="356"/>
      <c r="BL62" s="356"/>
      <c r="BM62" s="356"/>
      <c r="BN62" s="356"/>
      <c r="BO62" s="356"/>
      <c r="BP62" s="356"/>
      <c r="BQ62" s="356"/>
      <c r="BR62" s="356"/>
      <c r="BS62" s="356"/>
      <c r="BT62" s="356"/>
      <c r="BU62" s="356"/>
      <c r="BV62" s="356"/>
      <c r="BW62" s="356"/>
      <c r="BX62" s="356"/>
      <c r="CI62" s="356"/>
      <c r="CJ62" s="356"/>
      <c r="CK62" s="356"/>
      <c r="CP62" s="356"/>
      <c r="CQ62" s="356"/>
      <c r="CR62" s="356"/>
      <c r="CS62" s="356"/>
      <c r="CT62" s="356"/>
      <c r="CU62" s="356"/>
      <c r="CV62" s="356"/>
      <c r="CW62" s="356"/>
      <c r="CX62" s="356"/>
      <c r="CY62" s="356"/>
      <c r="CZ62" s="356"/>
      <c r="DA62" s="356"/>
      <c r="DB62" s="356"/>
      <c r="DC62" s="356"/>
      <c r="DD62" s="356"/>
      <c r="DE62" s="356"/>
      <c r="DF62" s="356"/>
      <c r="DG62" s="356"/>
      <c r="DH62" s="356"/>
      <c r="DI62" s="356"/>
      <c r="DJ62" s="356"/>
      <c r="DK62" s="356"/>
      <c r="DL62" s="356"/>
      <c r="DM62" s="356"/>
      <c r="DN62" s="356"/>
      <c r="DO62" s="356"/>
      <c r="DP62" s="356"/>
      <c r="DQ62" s="356"/>
    </row>
    <row r="63" spans="1:122" hidden="1" outlineLevel="1">
      <c r="A63" s="41"/>
      <c r="B63" s="424"/>
      <c r="C63" s="356"/>
      <c r="D63" s="356"/>
      <c r="E63" s="356"/>
      <c r="F63" s="356"/>
      <c r="G63" s="356"/>
      <c r="H63" s="424"/>
      <c r="I63" s="424"/>
      <c r="J63" s="356"/>
      <c r="K63" s="356"/>
      <c r="L63" s="356"/>
      <c r="M63" s="356"/>
      <c r="N63" s="356"/>
      <c r="O63" s="356"/>
      <c r="P63" s="356"/>
      <c r="Q63" s="356"/>
      <c r="R63" s="425"/>
      <c r="S63" s="425"/>
      <c r="T63" s="356"/>
      <c r="U63" s="356"/>
      <c r="V63" s="356"/>
      <c r="W63" s="356"/>
      <c r="X63" s="426"/>
      <c r="Y63" s="426"/>
      <c r="Z63" s="356"/>
      <c r="AA63" s="356"/>
      <c r="AB63" s="356"/>
      <c r="AC63" s="356"/>
      <c r="AD63" s="425"/>
      <c r="AE63" s="356"/>
      <c r="AF63" s="356"/>
      <c r="AG63" s="356"/>
      <c r="AH63" s="356"/>
      <c r="AI63" s="426"/>
      <c r="AJ63" s="356"/>
      <c r="AK63" s="356"/>
      <c r="AL63" s="356"/>
      <c r="AM63" s="356"/>
      <c r="AN63" s="356"/>
      <c r="AO63" s="356"/>
      <c r="AP63" s="356"/>
      <c r="AQ63" s="356"/>
      <c r="AR63" s="356"/>
      <c r="AS63" s="424"/>
      <c r="AT63" s="356"/>
      <c r="AU63" s="356"/>
      <c r="AV63" s="356"/>
      <c r="AW63" s="356"/>
      <c r="AX63" s="356"/>
      <c r="AY63" s="356"/>
      <c r="AZ63" s="356"/>
      <c r="BA63" s="356"/>
      <c r="BB63" s="356"/>
      <c r="BC63" s="356"/>
      <c r="BD63" s="356"/>
      <c r="BE63" s="356"/>
      <c r="BF63" s="356"/>
      <c r="BG63" s="356"/>
      <c r="BH63" s="356"/>
      <c r="BI63" s="356"/>
      <c r="BJ63" s="356"/>
      <c r="BK63" s="356"/>
      <c r="BL63" s="356"/>
      <c r="BM63" s="356"/>
      <c r="BN63" s="356"/>
      <c r="BO63" s="356"/>
      <c r="BP63" s="356"/>
      <c r="BQ63" s="356"/>
      <c r="BR63" s="356"/>
      <c r="BS63" s="356"/>
      <c r="BT63" s="356"/>
      <c r="BU63" s="356"/>
      <c r="BV63" s="356"/>
      <c r="BW63" s="356"/>
      <c r="BX63" s="356"/>
      <c r="CI63" s="356"/>
      <c r="CJ63" s="356"/>
      <c r="CK63" s="356"/>
      <c r="CP63" s="356"/>
      <c r="CQ63" s="356"/>
      <c r="CR63" s="356"/>
      <c r="CS63" s="356"/>
      <c r="CT63" s="356"/>
      <c r="CU63" s="356"/>
      <c r="CV63" s="356"/>
      <c r="CW63" s="356"/>
      <c r="CX63" s="356"/>
      <c r="CY63" s="356"/>
      <c r="CZ63" s="356"/>
      <c r="DA63" s="356"/>
      <c r="DB63" s="356"/>
      <c r="DC63" s="356"/>
      <c r="DD63" s="356"/>
      <c r="DE63" s="356"/>
      <c r="DF63" s="356"/>
      <c r="DG63" s="356"/>
      <c r="DH63" s="356"/>
      <c r="DI63" s="356"/>
      <c r="DJ63" s="356"/>
      <c r="DK63" s="356"/>
      <c r="DL63" s="356"/>
      <c r="DM63" s="356"/>
      <c r="DN63" s="356"/>
      <c r="DO63" s="356"/>
      <c r="DP63" s="356"/>
      <c r="DQ63" s="356"/>
    </row>
    <row r="64" spans="1:122" hidden="1" outlineLevel="1">
      <c r="A64" s="41"/>
      <c r="B64" s="424"/>
      <c r="C64" s="356"/>
      <c r="D64" s="356"/>
      <c r="E64" s="356"/>
      <c r="F64" s="356"/>
      <c r="G64" s="356"/>
      <c r="H64" s="424"/>
      <c r="I64" s="424"/>
      <c r="J64" s="356"/>
      <c r="K64" s="356"/>
      <c r="L64" s="356"/>
      <c r="M64" s="356"/>
      <c r="N64" s="356"/>
      <c r="O64" s="356"/>
      <c r="P64" s="356"/>
      <c r="Q64" s="356"/>
      <c r="R64" s="425"/>
      <c r="S64" s="425"/>
      <c r="T64" s="356"/>
      <c r="U64" s="356"/>
      <c r="V64" s="356"/>
      <c r="W64" s="356"/>
      <c r="X64" s="426"/>
      <c r="Y64" s="426"/>
      <c r="Z64" s="356"/>
      <c r="AA64" s="356"/>
      <c r="AB64" s="356"/>
      <c r="AC64" s="356"/>
      <c r="AD64" s="425"/>
      <c r="AE64" s="356"/>
      <c r="AF64" s="356"/>
      <c r="AG64" s="356"/>
      <c r="AH64" s="356"/>
      <c r="AI64" s="426"/>
      <c r="AJ64" s="356"/>
      <c r="AK64" s="356"/>
      <c r="AL64" s="356"/>
      <c r="AM64" s="356"/>
      <c r="AN64" s="356"/>
      <c r="AO64" s="356"/>
      <c r="AP64" s="356"/>
      <c r="AQ64" s="356"/>
      <c r="AR64" s="356"/>
      <c r="AS64" s="424"/>
      <c r="AT64" s="356"/>
      <c r="AU64" s="356"/>
      <c r="AV64" s="356"/>
      <c r="AW64" s="356"/>
      <c r="AX64" s="356"/>
      <c r="AY64" s="356"/>
      <c r="AZ64" s="356"/>
      <c r="BA64" s="356"/>
      <c r="BB64" s="356"/>
      <c r="BC64" s="356"/>
      <c r="BD64" s="356"/>
      <c r="BE64" s="356"/>
      <c r="BF64" s="356"/>
      <c r="BG64" s="356"/>
      <c r="BH64" s="356"/>
      <c r="BI64" s="356"/>
      <c r="BJ64" s="356"/>
      <c r="BK64" s="356"/>
      <c r="BL64" s="356"/>
      <c r="BM64" s="356"/>
      <c r="BN64" s="356"/>
      <c r="BO64" s="356"/>
      <c r="BP64" s="356"/>
      <c r="BQ64" s="356"/>
      <c r="BR64" s="356"/>
      <c r="BS64" s="356"/>
      <c r="BT64" s="356"/>
      <c r="BU64" s="356"/>
      <c r="BV64" s="356"/>
      <c r="BW64" s="356"/>
      <c r="BX64" s="356"/>
      <c r="CI64" s="356"/>
      <c r="CJ64" s="356"/>
      <c r="CK64" s="356"/>
      <c r="CP64" s="356"/>
      <c r="CQ64" s="356"/>
      <c r="CR64" s="356"/>
      <c r="CS64" s="356"/>
      <c r="CT64" s="356"/>
      <c r="CU64" s="356"/>
      <c r="CV64" s="356"/>
      <c r="CW64" s="356"/>
      <c r="CX64" s="356"/>
      <c r="CY64" s="356"/>
      <c r="CZ64" s="356"/>
      <c r="DA64" s="356"/>
      <c r="DB64" s="356"/>
      <c r="DC64" s="356"/>
      <c r="DD64" s="356"/>
      <c r="DE64" s="356"/>
      <c r="DF64" s="356"/>
      <c r="DG64" s="356"/>
      <c r="DH64" s="356"/>
      <c r="DI64" s="356"/>
      <c r="DJ64" s="356"/>
      <c r="DK64" s="356"/>
      <c r="DL64" s="356"/>
      <c r="DM64" s="356"/>
      <c r="DN64" s="356"/>
      <c r="DO64" s="356"/>
      <c r="DP64" s="356"/>
      <c r="DQ64" s="356"/>
    </row>
    <row r="65" spans="1:121" hidden="1" outlineLevel="1">
      <c r="A65" s="41"/>
      <c r="B65" s="424"/>
      <c r="C65" s="356"/>
      <c r="D65" s="356"/>
      <c r="E65" s="356"/>
      <c r="F65" s="356"/>
      <c r="G65" s="356"/>
      <c r="H65" s="424"/>
      <c r="I65" s="424"/>
      <c r="J65" s="356"/>
      <c r="K65" s="356"/>
      <c r="L65" s="356"/>
      <c r="M65" s="356"/>
      <c r="N65" s="356"/>
      <c r="O65" s="356"/>
      <c r="P65" s="356"/>
      <c r="Q65" s="356"/>
      <c r="R65" s="425"/>
      <c r="S65" s="425"/>
      <c r="T65" s="356"/>
      <c r="U65" s="356"/>
      <c r="V65" s="356"/>
      <c r="W65" s="356"/>
      <c r="X65" s="426"/>
      <c r="Y65" s="426"/>
      <c r="Z65" s="356"/>
      <c r="AA65" s="356"/>
      <c r="AB65" s="356"/>
      <c r="AC65" s="356"/>
      <c r="AD65" s="425"/>
      <c r="AE65" s="356"/>
      <c r="AF65" s="356"/>
      <c r="AG65" s="356"/>
      <c r="AH65" s="356"/>
      <c r="AI65" s="426"/>
      <c r="AJ65" s="356"/>
      <c r="AK65" s="356"/>
      <c r="AL65" s="356"/>
      <c r="AM65" s="356"/>
      <c r="AN65" s="356"/>
      <c r="AO65" s="356"/>
      <c r="AP65" s="356"/>
      <c r="AQ65" s="356"/>
      <c r="AR65" s="356"/>
      <c r="AS65" s="424"/>
      <c r="AT65" s="356"/>
      <c r="AU65" s="356"/>
      <c r="AV65" s="356"/>
      <c r="AW65" s="356"/>
      <c r="AX65" s="356"/>
      <c r="AY65" s="356"/>
      <c r="AZ65" s="356"/>
      <c r="BA65" s="356"/>
      <c r="BB65" s="356"/>
      <c r="BC65" s="356"/>
      <c r="BD65" s="356"/>
      <c r="BE65" s="356"/>
      <c r="BF65" s="356"/>
      <c r="BG65" s="356"/>
      <c r="BH65" s="356"/>
      <c r="BI65" s="356"/>
      <c r="BJ65" s="356"/>
      <c r="BK65" s="356"/>
      <c r="BL65" s="356"/>
      <c r="BM65" s="356"/>
      <c r="BN65" s="356"/>
      <c r="BO65" s="356"/>
      <c r="BP65" s="356"/>
      <c r="BQ65" s="356"/>
      <c r="BR65" s="356"/>
      <c r="BS65" s="356"/>
      <c r="BT65" s="356"/>
      <c r="BU65" s="356"/>
      <c r="BV65" s="356"/>
      <c r="BW65" s="356"/>
      <c r="BX65" s="356"/>
      <c r="CI65" s="356"/>
      <c r="CJ65" s="356"/>
      <c r="CK65" s="356"/>
      <c r="CP65" s="356"/>
      <c r="CQ65" s="356"/>
      <c r="CR65" s="356"/>
      <c r="CS65" s="356"/>
      <c r="CT65" s="356"/>
      <c r="CU65" s="356"/>
      <c r="CV65" s="356"/>
      <c r="CW65" s="356"/>
      <c r="CX65" s="356"/>
      <c r="CY65" s="356"/>
      <c r="CZ65" s="356"/>
      <c r="DA65" s="356"/>
      <c r="DB65" s="356"/>
      <c r="DC65" s="356"/>
      <c r="DD65" s="356"/>
      <c r="DE65" s="356"/>
      <c r="DF65" s="356"/>
      <c r="DG65" s="356"/>
      <c r="DH65" s="356"/>
      <c r="DI65" s="356"/>
      <c r="DJ65" s="356"/>
      <c r="DK65" s="356"/>
      <c r="DL65" s="356"/>
      <c r="DM65" s="356"/>
      <c r="DN65" s="356"/>
      <c r="DO65" s="356"/>
      <c r="DP65" s="356"/>
      <c r="DQ65" s="356"/>
    </row>
    <row r="66" spans="1:121" hidden="1" outlineLevel="1">
      <c r="A66" s="41"/>
      <c r="B66" s="424"/>
      <c r="C66" s="356"/>
      <c r="D66" s="356"/>
      <c r="E66" s="356"/>
      <c r="F66" s="356"/>
      <c r="G66" s="356"/>
      <c r="H66" s="424"/>
      <c r="I66" s="424"/>
      <c r="J66" s="356"/>
      <c r="K66" s="356"/>
      <c r="L66" s="356"/>
      <c r="M66" s="356"/>
      <c r="N66" s="356"/>
      <c r="O66" s="356"/>
      <c r="P66" s="356"/>
      <c r="Q66" s="356"/>
      <c r="R66" s="425"/>
      <c r="S66" s="425"/>
      <c r="T66" s="356"/>
      <c r="U66" s="356"/>
      <c r="V66" s="356"/>
      <c r="W66" s="356"/>
      <c r="X66" s="426"/>
      <c r="Y66" s="426"/>
      <c r="Z66" s="356"/>
      <c r="AA66" s="356"/>
      <c r="AB66" s="356"/>
      <c r="AC66" s="356"/>
      <c r="AD66" s="425"/>
      <c r="AE66" s="356"/>
      <c r="AF66" s="356"/>
      <c r="AG66" s="356"/>
      <c r="AH66" s="356"/>
      <c r="AI66" s="426"/>
      <c r="AJ66" s="356"/>
      <c r="AK66" s="356"/>
      <c r="AL66" s="356"/>
      <c r="AM66" s="356"/>
      <c r="AN66" s="356"/>
      <c r="AO66" s="356"/>
      <c r="AP66" s="356"/>
      <c r="AQ66" s="356"/>
      <c r="AR66" s="356"/>
      <c r="AS66" s="424"/>
      <c r="AT66" s="356"/>
      <c r="AU66" s="356"/>
      <c r="AV66" s="356"/>
      <c r="AW66" s="356"/>
      <c r="AX66" s="356"/>
      <c r="AY66" s="356"/>
      <c r="AZ66" s="356"/>
      <c r="BA66" s="356"/>
      <c r="BB66" s="356"/>
      <c r="BC66" s="356"/>
      <c r="BD66" s="356"/>
      <c r="BE66" s="356"/>
      <c r="BF66" s="356"/>
      <c r="BG66" s="356"/>
      <c r="BH66" s="356"/>
      <c r="BI66" s="356"/>
      <c r="BJ66" s="356"/>
      <c r="BK66" s="356"/>
      <c r="BL66" s="356"/>
      <c r="BM66" s="356"/>
      <c r="BN66" s="356"/>
      <c r="BO66" s="356"/>
      <c r="BP66" s="356"/>
      <c r="BQ66" s="356"/>
      <c r="BR66" s="356"/>
      <c r="BS66" s="356"/>
      <c r="BT66" s="356"/>
      <c r="BU66" s="356"/>
      <c r="BV66" s="356"/>
      <c r="BW66" s="356"/>
      <c r="BX66" s="356"/>
      <c r="CI66" s="356"/>
      <c r="CJ66" s="356"/>
      <c r="CK66" s="356"/>
      <c r="CP66" s="356"/>
      <c r="CQ66" s="356"/>
      <c r="CR66" s="356"/>
      <c r="CS66" s="356"/>
      <c r="CT66" s="356"/>
      <c r="CU66" s="356"/>
      <c r="CV66" s="356"/>
      <c r="CW66" s="356"/>
      <c r="CX66" s="356"/>
      <c r="CY66" s="356"/>
      <c r="CZ66" s="356"/>
      <c r="DA66" s="356"/>
      <c r="DB66" s="356"/>
      <c r="DC66" s="356"/>
      <c r="DD66" s="356"/>
      <c r="DE66" s="356"/>
      <c r="DF66" s="356"/>
      <c r="DG66" s="356"/>
      <c r="DH66" s="356"/>
      <c r="DI66" s="356"/>
      <c r="DJ66" s="356"/>
      <c r="DK66" s="356"/>
      <c r="DL66" s="356"/>
      <c r="DM66" s="356"/>
      <c r="DN66" s="356"/>
      <c r="DO66" s="356"/>
      <c r="DP66" s="356"/>
      <c r="DQ66" s="356"/>
    </row>
    <row r="67" spans="1:121" hidden="1" outlineLevel="1">
      <c r="A67" s="41"/>
      <c r="B67" s="424"/>
      <c r="C67" s="356"/>
      <c r="D67" s="356"/>
      <c r="E67" s="356"/>
      <c r="F67" s="356"/>
      <c r="G67" s="356"/>
      <c r="H67" s="424"/>
      <c r="I67" s="424"/>
      <c r="J67" s="356"/>
      <c r="K67" s="356"/>
      <c r="L67" s="356"/>
      <c r="M67" s="356"/>
      <c r="N67" s="356"/>
      <c r="O67" s="356"/>
      <c r="P67" s="356"/>
      <c r="Q67" s="356"/>
      <c r="R67" s="425"/>
      <c r="S67" s="425"/>
      <c r="T67" s="356"/>
      <c r="U67" s="356"/>
      <c r="V67" s="356"/>
      <c r="W67" s="356"/>
      <c r="X67" s="426"/>
      <c r="Y67" s="426"/>
      <c r="Z67" s="356"/>
      <c r="AA67" s="356"/>
      <c r="AB67" s="356"/>
      <c r="AC67" s="356"/>
      <c r="AD67" s="425"/>
      <c r="AE67" s="356"/>
      <c r="AF67" s="356"/>
      <c r="AG67" s="356"/>
      <c r="AH67" s="356"/>
      <c r="AI67" s="426"/>
      <c r="AJ67" s="356"/>
      <c r="AK67" s="356"/>
      <c r="AL67" s="356"/>
      <c r="AM67" s="356"/>
      <c r="AN67" s="356"/>
      <c r="AO67" s="356"/>
      <c r="AP67" s="356"/>
      <c r="AQ67" s="356"/>
      <c r="AR67" s="356"/>
      <c r="AS67" s="424"/>
      <c r="AT67" s="356"/>
      <c r="AU67" s="356"/>
      <c r="AV67" s="356"/>
      <c r="AW67" s="356"/>
      <c r="AX67" s="356"/>
      <c r="AY67" s="356"/>
      <c r="AZ67" s="356"/>
      <c r="BA67" s="356"/>
      <c r="BB67" s="356"/>
      <c r="BC67" s="356"/>
      <c r="BD67" s="356"/>
      <c r="BE67" s="356"/>
      <c r="BF67" s="356"/>
      <c r="BG67" s="356"/>
      <c r="BH67" s="356"/>
      <c r="BI67" s="356"/>
      <c r="BJ67" s="356"/>
      <c r="BK67" s="356"/>
      <c r="BL67" s="356"/>
      <c r="BM67" s="356"/>
      <c r="BN67" s="356"/>
      <c r="BO67" s="356"/>
      <c r="BP67" s="356"/>
      <c r="BQ67" s="356"/>
      <c r="BR67" s="356"/>
      <c r="BS67" s="356"/>
      <c r="BT67" s="356"/>
      <c r="BU67" s="356"/>
      <c r="BV67" s="356"/>
      <c r="BW67" s="356"/>
      <c r="BX67" s="356"/>
      <c r="CI67" s="356"/>
      <c r="CJ67" s="356"/>
      <c r="CK67" s="356"/>
      <c r="CP67" s="356"/>
      <c r="CQ67" s="356"/>
      <c r="CR67" s="356"/>
      <c r="CS67" s="356"/>
      <c r="CT67" s="356"/>
      <c r="CU67" s="356"/>
      <c r="CV67" s="356"/>
      <c r="CW67" s="356"/>
      <c r="CX67" s="356"/>
      <c r="CY67" s="356"/>
      <c r="CZ67" s="356"/>
      <c r="DA67" s="356"/>
      <c r="DB67" s="356"/>
      <c r="DC67" s="356"/>
      <c r="DD67" s="356"/>
      <c r="DE67" s="356"/>
      <c r="DF67" s="356"/>
      <c r="DG67" s="356"/>
      <c r="DH67" s="356"/>
      <c r="DI67" s="356"/>
      <c r="DJ67" s="356"/>
      <c r="DK67" s="356"/>
      <c r="DL67" s="356"/>
      <c r="DM67" s="356"/>
      <c r="DN67" s="356"/>
      <c r="DO67" s="356"/>
      <c r="DP67" s="356"/>
      <c r="DQ67" s="356"/>
    </row>
    <row r="68" spans="1:121" hidden="1" outlineLevel="1">
      <c r="A68" s="41"/>
      <c r="B68" s="424"/>
      <c r="C68" s="356"/>
      <c r="D68" s="356"/>
      <c r="E68" s="356"/>
      <c r="F68" s="356"/>
      <c r="G68" s="356"/>
      <c r="H68" s="424"/>
      <c r="I68" s="424"/>
      <c r="J68" s="356"/>
      <c r="K68" s="356"/>
      <c r="L68" s="356"/>
      <c r="M68" s="356"/>
      <c r="N68" s="356"/>
      <c r="O68" s="356"/>
      <c r="P68" s="356"/>
      <c r="Q68" s="356"/>
      <c r="R68" s="425"/>
      <c r="S68" s="425"/>
      <c r="T68" s="356"/>
      <c r="U68" s="356"/>
      <c r="V68" s="356"/>
      <c r="W68" s="356"/>
      <c r="X68" s="426"/>
      <c r="Y68" s="426"/>
      <c r="Z68" s="356"/>
      <c r="AA68" s="356"/>
      <c r="AB68" s="356"/>
      <c r="AC68" s="356"/>
      <c r="AD68" s="425"/>
      <c r="AE68" s="356"/>
      <c r="AF68" s="356"/>
      <c r="AG68" s="356"/>
      <c r="AH68" s="356"/>
      <c r="AI68" s="426"/>
      <c r="AJ68" s="356"/>
      <c r="AK68" s="356"/>
      <c r="AL68" s="356"/>
      <c r="AM68" s="356"/>
      <c r="AN68" s="356"/>
      <c r="AO68" s="356"/>
      <c r="AP68" s="356"/>
      <c r="AQ68" s="356"/>
      <c r="AR68" s="356"/>
      <c r="AS68" s="424"/>
      <c r="AT68" s="356"/>
      <c r="AU68" s="356"/>
      <c r="AV68" s="356"/>
      <c r="AW68" s="356"/>
      <c r="AX68" s="356"/>
      <c r="AY68" s="356"/>
      <c r="AZ68" s="356"/>
      <c r="BA68" s="356"/>
      <c r="BB68" s="356"/>
      <c r="BC68" s="356"/>
      <c r="BD68" s="356"/>
      <c r="BE68" s="356"/>
      <c r="BF68" s="356"/>
      <c r="BG68" s="356"/>
      <c r="BH68" s="356"/>
      <c r="BI68" s="356"/>
      <c r="BJ68" s="356"/>
      <c r="BK68" s="356"/>
      <c r="BL68" s="356"/>
      <c r="BM68" s="356"/>
      <c r="BN68" s="356"/>
      <c r="BO68" s="356"/>
      <c r="BP68" s="356"/>
      <c r="BQ68" s="356"/>
      <c r="BR68" s="356"/>
      <c r="BS68" s="356"/>
      <c r="BT68" s="356"/>
      <c r="BU68" s="356"/>
      <c r="BV68" s="356"/>
      <c r="BW68" s="356"/>
      <c r="BX68" s="356"/>
      <c r="CI68" s="356"/>
      <c r="CJ68" s="356"/>
      <c r="CK68" s="356"/>
      <c r="CP68" s="356"/>
      <c r="CQ68" s="356"/>
      <c r="CR68" s="356"/>
      <c r="CS68" s="356"/>
      <c r="CT68" s="356"/>
      <c r="CU68" s="356"/>
      <c r="CV68" s="356"/>
      <c r="CW68" s="356"/>
      <c r="CX68" s="356"/>
      <c r="CY68" s="356"/>
      <c r="CZ68" s="356"/>
      <c r="DA68" s="356"/>
      <c r="DB68" s="356"/>
      <c r="DC68" s="356"/>
      <c r="DD68" s="356"/>
      <c r="DE68" s="356"/>
      <c r="DF68" s="356"/>
      <c r="DG68" s="356"/>
      <c r="DH68" s="356"/>
      <c r="DI68" s="356"/>
      <c r="DJ68" s="356"/>
      <c r="DK68" s="356"/>
      <c r="DL68" s="356"/>
      <c r="DM68" s="356"/>
      <c r="DN68" s="356"/>
      <c r="DO68" s="356"/>
      <c r="DP68" s="356"/>
      <c r="DQ68" s="356"/>
    </row>
    <row r="69" spans="1:121" hidden="1" outlineLevel="1">
      <c r="A69" s="41"/>
      <c r="B69" s="424"/>
      <c r="C69" s="356"/>
      <c r="D69" s="356"/>
      <c r="E69" s="356"/>
      <c r="F69" s="356"/>
      <c r="G69" s="356"/>
      <c r="H69" s="424"/>
      <c r="I69" s="424"/>
      <c r="J69" s="356"/>
      <c r="K69" s="356"/>
      <c r="L69" s="356"/>
      <c r="M69" s="356"/>
      <c r="N69" s="356"/>
      <c r="O69" s="356"/>
      <c r="P69" s="356"/>
      <c r="Q69" s="356"/>
      <c r="R69" s="425"/>
      <c r="S69" s="425"/>
      <c r="T69" s="356"/>
      <c r="U69" s="356"/>
      <c r="V69" s="356"/>
      <c r="W69" s="356"/>
      <c r="X69" s="426"/>
      <c r="Y69" s="426"/>
      <c r="Z69" s="356"/>
      <c r="AA69" s="356"/>
      <c r="AB69" s="356"/>
      <c r="AC69" s="356"/>
      <c r="AD69" s="425"/>
      <c r="AE69" s="356"/>
      <c r="AF69" s="356"/>
      <c r="AG69" s="356"/>
      <c r="AH69" s="356"/>
      <c r="AI69" s="426"/>
      <c r="AJ69" s="356"/>
      <c r="AK69" s="356"/>
      <c r="AL69" s="356"/>
      <c r="AM69" s="356"/>
      <c r="AN69" s="356"/>
      <c r="AO69" s="356"/>
      <c r="AP69" s="356"/>
      <c r="AQ69" s="356"/>
      <c r="AR69" s="356"/>
      <c r="AS69" s="424"/>
      <c r="AT69" s="356"/>
      <c r="AU69" s="356"/>
      <c r="AV69" s="356"/>
      <c r="AW69" s="356"/>
      <c r="AX69" s="356"/>
      <c r="AY69" s="356"/>
      <c r="AZ69" s="356"/>
      <c r="BA69" s="356"/>
      <c r="BB69" s="356"/>
      <c r="BC69" s="356"/>
      <c r="BD69" s="356"/>
      <c r="BE69" s="356"/>
      <c r="BF69" s="356"/>
      <c r="BG69" s="356"/>
      <c r="BH69" s="356"/>
      <c r="BI69" s="356"/>
      <c r="BJ69" s="356"/>
      <c r="BK69" s="356"/>
      <c r="BL69" s="356"/>
      <c r="BM69" s="356"/>
      <c r="BN69" s="356"/>
      <c r="BO69" s="356"/>
      <c r="BP69" s="356"/>
      <c r="BQ69" s="356"/>
      <c r="BR69" s="356"/>
      <c r="BS69" s="356"/>
      <c r="BT69" s="356"/>
      <c r="BU69" s="356"/>
      <c r="BV69" s="356"/>
      <c r="BW69" s="356"/>
      <c r="BX69" s="356"/>
      <c r="CI69" s="356"/>
      <c r="CJ69" s="356"/>
      <c r="CK69" s="356"/>
      <c r="CP69" s="356"/>
      <c r="CQ69" s="356"/>
      <c r="CR69" s="356"/>
      <c r="CS69" s="356"/>
      <c r="CT69" s="356"/>
      <c r="CU69" s="356"/>
      <c r="CV69" s="356"/>
      <c r="CW69" s="356"/>
      <c r="CX69" s="356"/>
      <c r="CY69" s="356"/>
      <c r="CZ69" s="356"/>
      <c r="DA69" s="356"/>
      <c r="DB69" s="356"/>
      <c r="DC69" s="356"/>
      <c r="DD69" s="356"/>
      <c r="DE69" s="356"/>
      <c r="DF69" s="356"/>
      <c r="DG69" s="356"/>
      <c r="DH69" s="356"/>
      <c r="DI69" s="356"/>
      <c r="DJ69" s="356"/>
      <c r="DK69" s="356"/>
      <c r="DL69" s="356"/>
      <c r="DM69" s="356"/>
      <c r="DN69" s="356"/>
      <c r="DO69" s="356"/>
      <c r="DP69" s="356"/>
      <c r="DQ69" s="356"/>
    </row>
    <row r="70" spans="1:121" hidden="1" outlineLevel="1">
      <c r="A70" s="41"/>
      <c r="B70" s="424"/>
      <c r="C70" s="356"/>
      <c r="D70" s="356"/>
      <c r="E70" s="356"/>
      <c r="F70" s="356"/>
      <c r="G70" s="356"/>
      <c r="H70" s="424"/>
      <c r="I70" s="424"/>
      <c r="J70" s="356"/>
      <c r="K70" s="356"/>
      <c r="L70" s="356"/>
      <c r="M70" s="356"/>
      <c r="N70" s="356"/>
      <c r="O70" s="356"/>
      <c r="P70" s="356"/>
      <c r="Q70" s="356"/>
      <c r="R70" s="425"/>
      <c r="S70" s="425"/>
      <c r="T70" s="356"/>
      <c r="U70" s="356"/>
      <c r="V70" s="356"/>
      <c r="W70" s="356"/>
      <c r="X70" s="426"/>
      <c r="Y70" s="426"/>
      <c r="Z70" s="356"/>
      <c r="AA70" s="356"/>
      <c r="AB70" s="356"/>
      <c r="AC70" s="356"/>
      <c r="AD70" s="425"/>
      <c r="AE70" s="356"/>
      <c r="AF70" s="356"/>
      <c r="AG70" s="356"/>
      <c r="AH70" s="356"/>
      <c r="AI70" s="426"/>
      <c r="AJ70" s="356"/>
      <c r="AK70" s="356"/>
      <c r="AL70" s="356"/>
      <c r="AM70" s="356"/>
      <c r="AN70" s="356"/>
      <c r="AO70" s="356"/>
      <c r="AP70" s="356"/>
      <c r="AQ70" s="356"/>
      <c r="AR70" s="356"/>
      <c r="AS70" s="424"/>
      <c r="AT70" s="356"/>
      <c r="AU70" s="356"/>
      <c r="AV70" s="356"/>
      <c r="AW70" s="356"/>
      <c r="AX70" s="356"/>
      <c r="AY70" s="356"/>
      <c r="AZ70" s="356"/>
      <c r="BA70" s="356"/>
      <c r="BB70" s="356"/>
      <c r="BC70" s="356"/>
      <c r="BD70" s="356"/>
      <c r="BE70" s="356"/>
      <c r="BF70" s="356"/>
      <c r="BG70" s="356"/>
      <c r="BH70" s="356"/>
      <c r="BI70" s="356"/>
      <c r="BJ70" s="356"/>
      <c r="BK70" s="356"/>
      <c r="BL70" s="356"/>
      <c r="BM70" s="356"/>
      <c r="BN70" s="356"/>
      <c r="BO70" s="356"/>
      <c r="BP70" s="356"/>
      <c r="BQ70" s="356"/>
      <c r="BR70" s="356"/>
      <c r="BS70" s="356"/>
      <c r="BT70" s="356"/>
      <c r="BU70" s="356"/>
      <c r="BV70" s="356"/>
      <c r="BW70" s="356"/>
      <c r="BX70" s="356"/>
      <c r="CI70" s="356"/>
      <c r="CJ70" s="356"/>
      <c r="CK70" s="356"/>
      <c r="CP70" s="356"/>
      <c r="CQ70" s="356"/>
      <c r="CR70" s="356"/>
      <c r="CS70" s="356"/>
      <c r="CT70" s="356"/>
      <c r="CU70" s="356"/>
      <c r="CV70" s="356"/>
      <c r="CW70" s="356"/>
      <c r="CX70" s="356"/>
      <c r="CY70" s="356"/>
      <c r="CZ70" s="356"/>
      <c r="DA70" s="356"/>
      <c r="DB70" s="356"/>
      <c r="DC70" s="356"/>
      <c r="DD70" s="356"/>
      <c r="DE70" s="356"/>
      <c r="DF70" s="356"/>
      <c r="DG70" s="356"/>
      <c r="DH70" s="356"/>
      <c r="DI70" s="356"/>
      <c r="DJ70" s="356"/>
      <c r="DK70" s="356"/>
      <c r="DL70" s="356"/>
      <c r="DM70" s="356"/>
      <c r="DN70" s="356"/>
      <c r="DO70" s="356"/>
      <c r="DP70" s="356"/>
      <c r="DQ70" s="356"/>
    </row>
    <row r="71" spans="1:121" hidden="1" outlineLevel="1">
      <c r="A71" s="41"/>
      <c r="B71" s="424"/>
      <c r="C71" s="356"/>
      <c r="D71" s="356"/>
      <c r="E71" s="356"/>
      <c r="F71" s="356"/>
      <c r="G71" s="356"/>
      <c r="H71" s="424"/>
      <c r="I71" s="424"/>
      <c r="J71" s="356"/>
      <c r="K71" s="356"/>
      <c r="L71" s="356"/>
      <c r="M71" s="356"/>
      <c r="N71" s="356"/>
      <c r="O71" s="356"/>
      <c r="P71" s="356"/>
      <c r="Q71" s="356"/>
      <c r="R71" s="425"/>
      <c r="S71" s="425"/>
      <c r="T71" s="356"/>
      <c r="U71" s="356"/>
      <c r="V71" s="356"/>
      <c r="W71" s="356"/>
      <c r="X71" s="426"/>
      <c r="Y71" s="426"/>
      <c r="Z71" s="356"/>
      <c r="AA71" s="356"/>
      <c r="AB71" s="356"/>
      <c r="AC71" s="356"/>
      <c r="AD71" s="425"/>
      <c r="AE71" s="356"/>
      <c r="AF71" s="356"/>
      <c r="AG71" s="356"/>
      <c r="AH71" s="356"/>
      <c r="AI71" s="426"/>
      <c r="AJ71" s="356"/>
      <c r="AK71" s="356"/>
      <c r="AL71" s="356"/>
      <c r="AM71" s="356"/>
      <c r="AN71" s="356"/>
      <c r="AO71" s="356"/>
      <c r="AP71" s="356"/>
      <c r="AQ71" s="356"/>
      <c r="AR71" s="356"/>
      <c r="AS71" s="424"/>
      <c r="AT71" s="356"/>
      <c r="AU71" s="356"/>
      <c r="AV71" s="356"/>
      <c r="AW71" s="356"/>
      <c r="AX71" s="356"/>
      <c r="AY71" s="356"/>
      <c r="AZ71" s="356"/>
      <c r="BA71" s="356"/>
      <c r="BB71" s="356"/>
      <c r="BC71" s="356"/>
      <c r="BD71" s="356"/>
      <c r="BE71" s="356"/>
      <c r="BF71" s="356"/>
      <c r="BG71" s="356"/>
      <c r="BH71" s="356"/>
      <c r="BI71" s="356"/>
      <c r="BJ71" s="356"/>
      <c r="BK71" s="356"/>
      <c r="BL71" s="356"/>
      <c r="BM71" s="356"/>
      <c r="BN71" s="356"/>
      <c r="BO71" s="356"/>
      <c r="BP71" s="356"/>
      <c r="BQ71" s="356"/>
      <c r="BR71" s="356"/>
      <c r="BS71" s="356"/>
      <c r="BT71" s="356"/>
      <c r="BU71" s="356"/>
      <c r="BV71" s="356"/>
      <c r="BW71" s="356"/>
      <c r="BX71" s="356"/>
      <c r="CI71" s="356"/>
      <c r="CJ71" s="356"/>
      <c r="CK71" s="356"/>
      <c r="CP71" s="356"/>
      <c r="CQ71" s="356"/>
      <c r="CR71" s="356"/>
      <c r="CS71" s="356"/>
      <c r="CT71" s="356"/>
      <c r="CU71" s="356"/>
      <c r="CV71" s="356"/>
      <c r="CW71" s="356"/>
      <c r="CX71" s="356"/>
      <c r="CY71" s="356"/>
      <c r="CZ71" s="356"/>
      <c r="DA71" s="356"/>
      <c r="DB71" s="356"/>
      <c r="DC71" s="356"/>
      <c r="DD71" s="356"/>
      <c r="DE71" s="356"/>
      <c r="DF71" s="356"/>
      <c r="DG71" s="356"/>
      <c r="DH71" s="356"/>
      <c r="DI71" s="356"/>
      <c r="DJ71" s="356"/>
      <c r="DK71" s="356"/>
      <c r="DL71" s="356"/>
      <c r="DM71" s="356"/>
      <c r="DN71" s="356"/>
      <c r="DO71" s="356"/>
      <c r="DP71" s="356"/>
      <c r="DQ71" s="356"/>
    </row>
    <row r="72" spans="1:121" hidden="1" outlineLevel="1">
      <c r="A72" s="41"/>
      <c r="B72" s="424"/>
      <c r="C72" s="356"/>
      <c r="D72" s="356"/>
      <c r="E72" s="356"/>
      <c r="F72" s="356"/>
      <c r="G72" s="356"/>
      <c r="H72" s="424"/>
      <c r="I72" s="424"/>
      <c r="J72" s="356"/>
      <c r="K72" s="356"/>
      <c r="L72" s="356"/>
      <c r="M72" s="356"/>
      <c r="N72" s="356"/>
      <c r="O72" s="356"/>
      <c r="P72" s="356"/>
      <c r="Q72" s="356"/>
      <c r="R72" s="425"/>
      <c r="S72" s="425"/>
      <c r="T72" s="356"/>
      <c r="U72" s="356"/>
      <c r="V72" s="356"/>
      <c r="W72" s="356"/>
      <c r="X72" s="426"/>
      <c r="Y72" s="426"/>
      <c r="Z72" s="356"/>
      <c r="AA72" s="356"/>
      <c r="AB72" s="356"/>
      <c r="AC72" s="356"/>
      <c r="AD72" s="425"/>
      <c r="AE72" s="356"/>
      <c r="AF72" s="356"/>
      <c r="AG72" s="356"/>
      <c r="AH72" s="356"/>
      <c r="AI72" s="426"/>
      <c r="AJ72" s="356"/>
      <c r="AK72" s="356"/>
      <c r="AL72" s="356"/>
      <c r="AM72" s="356"/>
      <c r="AN72" s="356"/>
      <c r="AO72" s="356"/>
      <c r="AP72" s="356"/>
      <c r="AQ72" s="356"/>
      <c r="AR72" s="356"/>
      <c r="AS72" s="424"/>
      <c r="AT72" s="356"/>
      <c r="AU72" s="356"/>
      <c r="AV72" s="356"/>
      <c r="AW72" s="356"/>
      <c r="AX72" s="356"/>
      <c r="AY72" s="356"/>
      <c r="AZ72" s="356"/>
      <c r="BA72" s="356"/>
      <c r="BB72" s="356"/>
      <c r="BC72" s="356"/>
      <c r="BD72" s="356"/>
      <c r="BE72" s="356"/>
      <c r="BF72" s="356"/>
      <c r="BG72" s="356"/>
      <c r="BH72" s="356"/>
      <c r="BI72" s="356"/>
      <c r="BJ72" s="356"/>
      <c r="BK72" s="356"/>
      <c r="BL72" s="356"/>
      <c r="BM72" s="356"/>
      <c r="BN72" s="356"/>
      <c r="BO72" s="356"/>
      <c r="BP72" s="356"/>
      <c r="BQ72" s="356"/>
      <c r="BR72" s="356"/>
      <c r="BS72" s="356"/>
      <c r="BT72" s="356"/>
      <c r="BU72" s="356"/>
      <c r="BV72" s="356"/>
      <c r="BW72" s="356"/>
      <c r="BX72" s="356"/>
      <c r="CI72" s="356"/>
      <c r="CJ72" s="356"/>
      <c r="CK72" s="356"/>
      <c r="CP72" s="356"/>
      <c r="CQ72" s="356"/>
      <c r="CR72" s="356"/>
      <c r="CS72" s="356"/>
      <c r="CT72" s="356"/>
      <c r="CU72" s="356"/>
      <c r="CV72" s="356"/>
      <c r="CW72" s="356"/>
      <c r="CX72" s="356"/>
      <c r="CY72" s="356"/>
      <c r="CZ72" s="356"/>
      <c r="DA72" s="356"/>
      <c r="DB72" s="356"/>
      <c r="DC72" s="356"/>
      <c r="DD72" s="356"/>
      <c r="DE72" s="356"/>
      <c r="DF72" s="356"/>
      <c r="DG72" s="356"/>
      <c r="DH72" s="356"/>
      <c r="DI72" s="356"/>
      <c r="DJ72" s="356"/>
      <c r="DK72" s="356"/>
      <c r="DL72" s="356"/>
      <c r="DM72" s="356"/>
      <c r="DN72" s="356"/>
      <c r="DO72" s="356"/>
      <c r="DP72" s="356"/>
      <c r="DQ72" s="356"/>
    </row>
    <row r="73" spans="1:121" hidden="1" outlineLevel="1">
      <c r="A73" s="41"/>
      <c r="B73" s="424"/>
      <c r="C73" s="356"/>
      <c r="D73" s="356"/>
      <c r="E73" s="356"/>
      <c r="F73" s="356"/>
      <c r="G73" s="356"/>
      <c r="H73" s="424"/>
      <c r="I73" s="424"/>
      <c r="J73" s="356"/>
      <c r="K73" s="356"/>
      <c r="L73" s="356"/>
      <c r="M73" s="356"/>
      <c r="N73" s="356"/>
      <c r="O73" s="356"/>
      <c r="P73" s="356"/>
      <c r="Q73" s="356"/>
      <c r="R73" s="425"/>
      <c r="S73" s="425"/>
      <c r="T73" s="356"/>
      <c r="U73" s="356"/>
      <c r="V73" s="356"/>
      <c r="W73" s="356"/>
      <c r="X73" s="426"/>
      <c r="Y73" s="426"/>
      <c r="Z73" s="356"/>
      <c r="AA73" s="356"/>
      <c r="AB73" s="356"/>
      <c r="AC73" s="356"/>
      <c r="AD73" s="425"/>
      <c r="AE73" s="356"/>
      <c r="AF73" s="356"/>
      <c r="AG73" s="356"/>
      <c r="AH73" s="356"/>
      <c r="AI73" s="426"/>
      <c r="AJ73" s="356"/>
      <c r="AK73" s="356"/>
      <c r="AL73" s="356"/>
      <c r="AM73" s="356"/>
      <c r="AN73" s="356"/>
      <c r="AO73" s="356"/>
      <c r="AP73" s="356"/>
      <c r="AQ73" s="356"/>
      <c r="AR73" s="356"/>
      <c r="AS73" s="424"/>
      <c r="AT73" s="356"/>
      <c r="AU73" s="356"/>
      <c r="AV73" s="356"/>
      <c r="AW73" s="356"/>
      <c r="AX73" s="356"/>
      <c r="AY73" s="356"/>
      <c r="AZ73" s="356"/>
      <c r="BA73" s="356"/>
      <c r="BB73" s="356"/>
      <c r="BC73" s="356"/>
      <c r="BD73" s="356"/>
      <c r="BE73" s="356"/>
      <c r="BF73" s="356"/>
      <c r="BG73" s="356"/>
      <c r="BH73" s="356"/>
      <c r="BI73" s="356"/>
      <c r="BJ73" s="356"/>
      <c r="BK73" s="356"/>
      <c r="BL73" s="356"/>
      <c r="BM73" s="356"/>
      <c r="BN73" s="356"/>
      <c r="BO73" s="356"/>
      <c r="BP73" s="356"/>
      <c r="BQ73" s="356"/>
      <c r="BR73" s="356"/>
      <c r="BS73" s="356"/>
      <c r="BT73" s="356"/>
      <c r="BU73" s="356"/>
      <c r="BV73" s="356"/>
      <c r="BW73" s="356"/>
      <c r="BX73" s="356"/>
      <c r="CI73" s="356"/>
      <c r="CJ73" s="356"/>
      <c r="CK73" s="356"/>
      <c r="CP73" s="356"/>
      <c r="CQ73" s="356"/>
      <c r="CR73" s="356"/>
      <c r="CS73" s="356"/>
      <c r="CT73" s="356"/>
      <c r="CU73" s="356"/>
      <c r="CV73" s="356"/>
      <c r="CW73" s="356"/>
      <c r="CX73" s="356"/>
      <c r="CY73" s="356"/>
      <c r="CZ73" s="356"/>
      <c r="DA73" s="356"/>
      <c r="DB73" s="356"/>
      <c r="DC73" s="356"/>
      <c r="DD73" s="356"/>
      <c r="DE73" s="356"/>
      <c r="DF73" s="356"/>
      <c r="DG73" s="356"/>
      <c r="DH73" s="356"/>
      <c r="DI73" s="356"/>
      <c r="DJ73" s="356"/>
      <c r="DK73" s="356"/>
      <c r="DL73" s="356"/>
      <c r="DM73" s="356"/>
      <c r="DN73" s="356"/>
      <c r="DO73" s="356"/>
      <c r="DP73" s="356"/>
      <c r="DQ73" s="356"/>
    </row>
    <row r="74" spans="1:121" hidden="1" outlineLevel="1">
      <c r="A74" s="41"/>
      <c r="B74" s="424"/>
      <c r="C74" s="356"/>
      <c r="D74" s="356"/>
      <c r="E74" s="356"/>
      <c r="F74" s="356"/>
      <c r="G74" s="356"/>
      <c r="H74" s="424"/>
      <c r="I74" s="424"/>
      <c r="J74" s="356"/>
      <c r="K74" s="356"/>
      <c r="L74" s="356"/>
      <c r="M74" s="356"/>
      <c r="N74" s="356"/>
      <c r="O74" s="356"/>
      <c r="P74" s="356"/>
      <c r="Q74" s="356"/>
      <c r="R74" s="425"/>
      <c r="S74" s="425"/>
      <c r="T74" s="356"/>
      <c r="U74" s="356"/>
      <c r="V74" s="356"/>
      <c r="W74" s="356"/>
      <c r="X74" s="426"/>
      <c r="Y74" s="426"/>
      <c r="Z74" s="356"/>
      <c r="AA74" s="356"/>
      <c r="AB74" s="356"/>
      <c r="AC74" s="356"/>
      <c r="AD74" s="425"/>
      <c r="AE74" s="356"/>
      <c r="AF74" s="356"/>
      <c r="AG74" s="356"/>
      <c r="AH74" s="356"/>
      <c r="AI74" s="426"/>
      <c r="AJ74" s="356"/>
      <c r="AK74" s="356"/>
      <c r="AL74" s="356"/>
      <c r="AM74" s="356"/>
      <c r="AN74" s="356"/>
      <c r="AO74" s="356"/>
      <c r="AP74" s="356"/>
      <c r="AQ74" s="356"/>
      <c r="AR74" s="356"/>
      <c r="AS74" s="424"/>
      <c r="AT74" s="356"/>
      <c r="AU74" s="356"/>
      <c r="AV74" s="356"/>
      <c r="AW74" s="356"/>
      <c r="AX74" s="356"/>
      <c r="AY74" s="356"/>
      <c r="AZ74" s="356"/>
      <c r="BA74" s="356"/>
      <c r="BB74" s="356"/>
      <c r="BC74" s="356"/>
      <c r="BD74" s="356"/>
      <c r="BE74" s="356"/>
      <c r="BF74" s="356"/>
      <c r="BG74" s="356"/>
      <c r="BH74" s="356"/>
      <c r="BI74" s="356"/>
      <c r="BJ74" s="356"/>
      <c r="BK74" s="356"/>
      <c r="BL74" s="356"/>
      <c r="BM74" s="356"/>
      <c r="BN74" s="356"/>
      <c r="BO74" s="356"/>
      <c r="BP74" s="356"/>
      <c r="BQ74" s="356"/>
      <c r="BR74" s="356"/>
      <c r="BS74" s="356"/>
      <c r="BT74" s="356"/>
      <c r="BU74" s="356"/>
      <c r="BV74" s="356"/>
      <c r="BW74" s="356"/>
      <c r="BX74" s="356"/>
      <c r="CI74" s="356"/>
      <c r="CJ74" s="356"/>
      <c r="CK74" s="356"/>
      <c r="CP74" s="356"/>
      <c r="CQ74" s="356"/>
      <c r="CR74" s="356"/>
      <c r="CS74" s="356"/>
      <c r="CT74" s="356"/>
      <c r="CU74" s="356"/>
      <c r="CV74" s="356"/>
      <c r="CW74" s="356"/>
      <c r="CX74" s="356"/>
      <c r="CY74" s="356"/>
      <c r="CZ74" s="356"/>
      <c r="DA74" s="356"/>
      <c r="DB74" s="356"/>
      <c r="DC74" s="356"/>
      <c r="DD74" s="356"/>
      <c r="DE74" s="356"/>
      <c r="DF74" s="356"/>
      <c r="DG74" s="356"/>
      <c r="DH74" s="356"/>
      <c r="DI74" s="356"/>
      <c r="DJ74" s="356"/>
      <c r="DK74" s="356"/>
      <c r="DL74" s="356"/>
      <c r="DM74" s="356"/>
      <c r="DN74" s="356"/>
      <c r="DO74" s="356"/>
      <c r="DP74" s="356"/>
      <c r="DQ74" s="356"/>
    </row>
    <row r="75" spans="1:121" hidden="1" outlineLevel="1">
      <c r="A75" s="41"/>
      <c r="B75" s="424"/>
      <c r="C75" s="356"/>
      <c r="D75" s="356"/>
      <c r="E75" s="356"/>
      <c r="F75" s="356"/>
      <c r="G75" s="356"/>
      <c r="H75" s="424"/>
      <c r="I75" s="424"/>
      <c r="J75" s="356"/>
      <c r="K75" s="356"/>
      <c r="L75" s="356"/>
      <c r="M75" s="356"/>
      <c r="N75" s="356"/>
      <c r="O75" s="356"/>
      <c r="P75" s="356"/>
      <c r="Q75" s="356"/>
      <c r="R75" s="425"/>
      <c r="S75" s="425"/>
      <c r="T75" s="356"/>
      <c r="U75" s="356"/>
      <c r="V75" s="356"/>
      <c r="W75" s="356"/>
      <c r="X75" s="426"/>
      <c r="Y75" s="426"/>
      <c r="Z75" s="356"/>
      <c r="AA75" s="356"/>
      <c r="AB75" s="356"/>
      <c r="AC75" s="356"/>
      <c r="AD75" s="425"/>
      <c r="AE75" s="356"/>
      <c r="AF75" s="356"/>
      <c r="AG75" s="356"/>
      <c r="AH75" s="356"/>
      <c r="AI75" s="426"/>
      <c r="AJ75" s="356"/>
      <c r="AK75" s="356"/>
      <c r="AL75" s="356"/>
      <c r="AM75" s="356"/>
      <c r="AN75" s="356"/>
      <c r="AO75" s="356"/>
      <c r="AP75" s="356"/>
      <c r="AQ75" s="356"/>
      <c r="AR75" s="356"/>
      <c r="AS75" s="424"/>
      <c r="AT75" s="356"/>
      <c r="AU75" s="356"/>
      <c r="AV75" s="356"/>
      <c r="AW75" s="356"/>
      <c r="AX75" s="356"/>
      <c r="AY75" s="356"/>
      <c r="AZ75" s="356"/>
      <c r="BA75" s="356"/>
      <c r="BB75" s="356"/>
      <c r="BC75" s="356"/>
      <c r="BD75" s="356"/>
      <c r="BE75" s="356"/>
      <c r="BF75" s="356"/>
      <c r="BG75" s="356"/>
      <c r="BH75" s="356"/>
      <c r="BI75" s="356"/>
      <c r="BJ75" s="356"/>
      <c r="BK75" s="356"/>
      <c r="BL75" s="356"/>
      <c r="BM75" s="356"/>
      <c r="BN75" s="356"/>
      <c r="BO75" s="356"/>
      <c r="BP75" s="356"/>
      <c r="BQ75" s="356"/>
      <c r="BR75" s="356"/>
      <c r="BS75" s="356"/>
      <c r="BT75" s="356"/>
      <c r="BU75" s="356"/>
      <c r="BV75" s="356"/>
      <c r="BW75" s="356"/>
      <c r="BX75" s="356"/>
      <c r="CI75" s="356"/>
      <c r="CJ75" s="356"/>
      <c r="CK75" s="356"/>
      <c r="CP75" s="356"/>
      <c r="CQ75" s="356"/>
      <c r="CR75" s="356"/>
      <c r="CS75" s="356"/>
      <c r="CT75" s="356"/>
      <c r="CU75" s="356"/>
      <c r="CV75" s="356"/>
      <c r="CW75" s="356"/>
      <c r="CX75" s="356"/>
      <c r="CY75" s="356"/>
      <c r="CZ75" s="356"/>
      <c r="DA75" s="356"/>
      <c r="DB75" s="356"/>
      <c r="DC75" s="356"/>
      <c r="DD75" s="356"/>
      <c r="DE75" s="356"/>
      <c r="DF75" s="356"/>
      <c r="DG75" s="356"/>
      <c r="DH75" s="356"/>
      <c r="DI75" s="356"/>
      <c r="DJ75" s="356"/>
      <c r="DK75" s="356"/>
      <c r="DL75" s="356"/>
      <c r="DM75" s="356"/>
      <c r="DN75" s="356"/>
      <c r="DO75" s="356"/>
      <c r="DP75" s="356"/>
      <c r="DQ75" s="356"/>
    </row>
    <row r="76" spans="1:121" hidden="1" outlineLevel="1">
      <c r="A76" s="41"/>
      <c r="B76" s="424"/>
      <c r="C76" s="356"/>
      <c r="D76" s="356"/>
      <c r="E76" s="356"/>
      <c r="F76" s="356"/>
      <c r="G76" s="356"/>
      <c r="H76" s="424"/>
      <c r="I76" s="424"/>
      <c r="J76" s="356"/>
      <c r="K76" s="356"/>
      <c r="L76" s="356"/>
      <c r="M76" s="356"/>
      <c r="N76" s="356"/>
      <c r="O76" s="356"/>
      <c r="P76" s="356"/>
      <c r="Q76" s="356"/>
      <c r="R76" s="425"/>
      <c r="S76" s="425"/>
      <c r="T76" s="356"/>
      <c r="U76" s="356"/>
      <c r="V76" s="356"/>
      <c r="W76" s="356"/>
      <c r="X76" s="426"/>
      <c r="Y76" s="426"/>
      <c r="Z76" s="356"/>
      <c r="AA76" s="356"/>
      <c r="AB76" s="356"/>
      <c r="AC76" s="356"/>
      <c r="AD76" s="425"/>
      <c r="AE76" s="356"/>
      <c r="AF76" s="356"/>
      <c r="AG76" s="356"/>
      <c r="AH76" s="356"/>
      <c r="AI76" s="426"/>
      <c r="AJ76" s="356"/>
      <c r="AK76" s="356"/>
      <c r="AL76" s="356"/>
      <c r="AM76" s="356"/>
      <c r="AN76" s="356"/>
      <c r="AO76" s="356"/>
      <c r="AP76" s="356"/>
      <c r="AQ76" s="356"/>
      <c r="AR76" s="356"/>
      <c r="AS76" s="424"/>
      <c r="AT76" s="356"/>
      <c r="AU76" s="356"/>
      <c r="AV76" s="356"/>
      <c r="AW76" s="356"/>
      <c r="AX76" s="356"/>
      <c r="AY76" s="356"/>
      <c r="AZ76" s="356"/>
      <c r="BA76" s="356"/>
      <c r="BB76" s="356"/>
      <c r="BC76" s="356"/>
      <c r="BD76" s="356"/>
      <c r="BE76" s="356"/>
      <c r="BF76" s="356"/>
      <c r="BG76" s="356"/>
      <c r="BH76" s="356"/>
      <c r="BI76" s="356"/>
      <c r="BJ76" s="356"/>
      <c r="BK76" s="356"/>
      <c r="BL76" s="356"/>
      <c r="BM76" s="356"/>
      <c r="BN76" s="356"/>
      <c r="BO76" s="356"/>
      <c r="BP76" s="356"/>
      <c r="BQ76" s="356"/>
      <c r="BR76" s="356"/>
      <c r="BS76" s="356"/>
      <c r="BT76" s="356"/>
      <c r="BU76" s="356"/>
      <c r="BV76" s="356"/>
      <c r="BW76" s="356"/>
      <c r="BX76" s="356"/>
      <c r="CI76" s="356"/>
      <c r="CJ76" s="356"/>
      <c r="CK76" s="356"/>
      <c r="CP76" s="356"/>
      <c r="CQ76" s="356"/>
      <c r="CR76" s="356"/>
      <c r="CS76" s="356"/>
      <c r="CT76" s="356"/>
      <c r="CU76" s="356"/>
      <c r="CV76" s="356"/>
      <c r="CW76" s="356"/>
      <c r="CX76" s="356"/>
      <c r="CY76" s="356"/>
      <c r="CZ76" s="356"/>
      <c r="DA76" s="356"/>
      <c r="DB76" s="356"/>
      <c r="DC76" s="356"/>
      <c r="DD76" s="356"/>
      <c r="DE76" s="356"/>
      <c r="DF76" s="356"/>
      <c r="DG76" s="356"/>
      <c r="DH76" s="356"/>
      <c r="DI76" s="356"/>
      <c r="DJ76" s="356"/>
      <c r="DK76" s="356"/>
      <c r="DL76" s="356"/>
      <c r="DM76" s="356"/>
      <c r="DN76" s="356"/>
      <c r="DO76" s="356"/>
      <c r="DP76" s="356"/>
      <c r="DQ76" s="356"/>
    </row>
    <row r="77" spans="1:121" hidden="1" outlineLevel="1">
      <c r="A77" s="41"/>
      <c r="B77" s="424"/>
      <c r="C77" s="356"/>
      <c r="D77" s="356"/>
      <c r="E77" s="356"/>
      <c r="F77" s="356"/>
      <c r="G77" s="356"/>
      <c r="H77" s="424"/>
      <c r="I77" s="424"/>
      <c r="J77" s="356"/>
      <c r="K77" s="356"/>
      <c r="L77" s="356"/>
      <c r="M77" s="356"/>
      <c r="N77" s="356"/>
      <c r="O77" s="356"/>
      <c r="P77" s="356"/>
      <c r="Q77" s="356"/>
      <c r="R77" s="425"/>
      <c r="S77" s="425"/>
      <c r="T77" s="356"/>
      <c r="U77" s="356"/>
      <c r="V77" s="356"/>
      <c r="W77" s="356"/>
      <c r="X77" s="426"/>
      <c r="Y77" s="426"/>
      <c r="Z77" s="356"/>
      <c r="AA77" s="356"/>
      <c r="AB77" s="356"/>
      <c r="AC77" s="356"/>
      <c r="AD77" s="425"/>
      <c r="AE77" s="356"/>
      <c r="AF77" s="356"/>
      <c r="AG77" s="356"/>
      <c r="AH77" s="356"/>
      <c r="AI77" s="426"/>
      <c r="AJ77" s="356"/>
      <c r="AK77" s="356"/>
      <c r="AL77" s="356"/>
      <c r="AM77" s="356"/>
      <c r="AN77" s="356"/>
      <c r="AO77" s="356"/>
      <c r="AP77" s="356"/>
      <c r="AQ77" s="356"/>
      <c r="AR77" s="356"/>
      <c r="AS77" s="424"/>
      <c r="AT77" s="356"/>
      <c r="AU77" s="356"/>
      <c r="AV77" s="356"/>
      <c r="AW77" s="356"/>
      <c r="AX77" s="356"/>
      <c r="AY77" s="356"/>
      <c r="AZ77" s="356"/>
      <c r="BA77" s="356"/>
      <c r="BB77" s="356"/>
      <c r="BC77" s="356"/>
      <c r="BD77" s="356"/>
      <c r="BE77" s="356"/>
      <c r="BF77" s="356"/>
      <c r="BG77" s="356"/>
      <c r="BH77" s="356"/>
      <c r="BI77" s="356"/>
      <c r="BJ77" s="356"/>
      <c r="BK77" s="356"/>
      <c r="BL77" s="356"/>
      <c r="BM77" s="356"/>
      <c r="BN77" s="356"/>
      <c r="BO77" s="356"/>
      <c r="BP77" s="356"/>
      <c r="BQ77" s="356"/>
      <c r="BR77" s="356"/>
      <c r="BS77" s="356"/>
      <c r="BT77" s="356"/>
      <c r="BU77" s="356"/>
      <c r="BV77" s="356"/>
      <c r="BW77" s="356"/>
      <c r="BX77" s="356"/>
      <c r="CI77" s="356"/>
      <c r="CJ77" s="356"/>
      <c r="CK77" s="356"/>
      <c r="CP77" s="356"/>
      <c r="CQ77" s="356"/>
      <c r="CR77" s="356"/>
      <c r="CS77" s="356"/>
      <c r="CT77" s="356"/>
      <c r="CU77" s="356"/>
      <c r="CV77" s="356"/>
      <c r="CW77" s="356"/>
      <c r="CX77" s="356"/>
      <c r="CY77" s="356"/>
      <c r="CZ77" s="356"/>
      <c r="DA77" s="356"/>
      <c r="DB77" s="356"/>
      <c r="DC77" s="356"/>
      <c r="DD77" s="356"/>
      <c r="DE77" s="356"/>
      <c r="DF77" s="356"/>
      <c r="DG77" s="356"/>
      <c r="DH77" s="356"/>
      <c r="DI77" s="356"/>
      <c r="DJ77" s="356"/>
      <c r="DK77" s="356"/>
      <c r="DL77" s="356"/>
      <c r="DM77" s="356"/>
      <c r="DN77" s="356"/>
      <c r="DO77" s="356"/>
      <c r="DP77" s="356"/>
      <c r="DQ77" s="356"/>
    </row>
    <row r="78" spans="1:121" hidden="1" outlineLevel="1">
      <c r="A78" s="41"/>
      <c r="B78" s="424"/>
      <c r="C78" s="356"/>
      <c r="D78" s="356"/>
      <c r="E78" s="356"/>
      <c r="F78" s="356"/>
      <c r="G78" s="356"/>
      <c r="H78" s="424"/>
      <c r="I78" s="424"/>
      <c r="J78" s="356"/>
      <c r="K78" s="356"/>
      <c r="L78" s="356"/>
      <c r="M78" s="356"/>
      <c r="N78" s="356"/>
      <c r="O78" s="356"/>
      <c r="P78" s="356"/>
      <c r="Q78" s="356"/>
      <c r="R78" s="425"/>
      <c r="S78" s="425"/>
      <c r="T78" s="356"/>
      <c r="U78" s="356"/>
      <c r="V78" s="356"/>
      <c r="W78" s="356"/>
      <c r="X78" s="426"/>
      <c r="Y78" s="426"/>
      <c r="Z78" s="356"/>
      <c r="AA78" s="356"/>
      <c r="AB78" s="356"/>
      <c r="AC78" s="356"/>
      <c r="AD78" s="425"/>
      <c r="AE78" s="356"/>
      <c r="AF78" s="356"/>
      <c r="AG78" s="356"/>
      <c r="AH78" s="356"/>
      <c r="AI78" s="426"/>
      <c r="AJ78" s="356"/>
      <c r="AK78" s="356"/>
      <c r="AL78" s="356"/>
      <c r="AM78" s="356"/>
      <c r="AN78" s="356"/>
      <c r="AO78" s="356"/>
      <c r="AP78" s="356"/>
      <c r="AQ78" s="356"/>
      <c r="AR78" s="356"/>
      <c r="AS78" s="424"/>
      <c r="AT78" s="356"/>
      <c r="AU78" s="356"/>
      <c r="AV78" s="356"/>
      <c r="AW78" s="356"/>
      <c r="AX78" s="356"/>
      <c r="AY78" s="356"/>
      <c r="AZ78" s="356"/>
      <c r="BA78" s="356"/>
      <c r="BB78" s="356"/>
      <c r="BC78" s="356"/>
      <c r="BD78" s="356"/>
      <c r="BE78" s="356"/>
      <c r="BF78" s="356"/>
      <c r="BG78" s="356"/>
      <c r="BH78" s="356"/>
      <c r="BI78" s="356"/>
      <c r="BJ78" s="356"/>
      <c r="BK78" s="356"/>
      <c r="BL78" s="356"/>
      <c r="BM78" s="356"/>
      <c r="BN78" s="356"/>
      <c r="BO78" s="356"/>
      <c r="BP78" s="356"/>
      <c r="BQ78" s="356"/>
      <c r="BR78" s="356"/>
      <c r="BS78" s="356"/>
      <c r="BT78" s="356"/>
      <c r="BU78" s="356"/>
      <c r="BV78" s="356"/>
      <c r="BW78" s="356"/>
      <c r="BX78" s="356"/>
      <c r="CI78" s="356"/>
      <c r="CJ78" s="356"/>
      <c r="CK78" s="356"/>
      <c r="CP78" s="356"/>
      <c r="CQ78" s="356"/>
      <c r="CR78" s="356"/>
      <c r="CS78" s="356"/>
      <c r="CT78" s="356"/>
      <c r="CU78" s="356"/>
      <c r="CV78" s="356"/>
      <c r="CW78" s="356"/>
      <c r="CX78" s="356"/>
      <c r="CY78" s="356"/>
      <c r="CZ78" s="356"/>
      <c r="DA78" s="356"/>
      <c r="DB78" s="356"/>
      <c r="DC78" s="356"/>
      <c r="DD78" s="356"/>
      <c r="DE78" s="356"/>
      <c r="DF78" s="356"/>
      <c r="DG78" s="356"/>
      <c r="DH78" s="356"/>
      <c r="DI78" s="356"/>
      <c r="DJ78" s="356"/>
      <c r="DK78" s="356"/>
      <c r="DL78" s="356"/>
      <c r="DM78" s="356"/>
      <c r="DN78" s="356"/>
      <c r="DO78" s="356"/>
      <c r="DP78" s="356"/>
      <c r="DQ78" s="356"/>
    </row>
    <row r="79" spans="1:121" hidden="1" outlineLevel="1">
      <c r="A79" s="41"/>
      <c r="B79" s="424"/>
      <c r="C79" s="356"/>
      <c r="D79" s="356"/>
      <c r="E79" s="356"/>
      <c r="F79" s="356"/>
      <c r="G79" s="356"/>
      <c r="H79" s="424"/>
      <c r="I79" s="424"/>
      <c r="J79" s="356"/>
      <c r="K79" s="356"/>
      <c r="L79" s="356"/>
      <c r="M79" s="356"/>
      <c r="N79" s="356"/>
      <c r="O79" s="356"/>
      <c r="P79" s="356"/>
      <c r="Q79" s="356"/>
      <c r="R79" s="425"/>
      <c r="S79" s="425"/>
      <c r="T79" s="356"/>
      <c r="U79" s="356"/>
      <c r="V79" s="356"/>
      <c r="W79" s="356"/>
      <c r="X79" s="426"/>
      <c r="Y79" s="426"/>
      <c r="Z79" s="356"/>
      <c r="AA79" s="356"/>
      <c r="AB79" s="356"/>
      <c r="AC79" s="356"/>
      <c r="AD79" s="425"/>
      <c r="AE79" s="356"/>
      <c r="AF79" s="356"/>
      <c r="AG79" s="356"/>
      <c r="AH79" s="356"/>
      <c r="AI79" s="426"/>
      <c r="AJ79" s="356"/>
      <c r="AK79" s="356"/>
      <c r="AL79" s="356"/>
      <c r="AM79" s="356"/>
      <c r="AN79" s="356"/>
      <c r="AO79" s="356"/>
      <c r="AP79" s="356"/>
      <c r="AQ79" s="356"/>
      <c r="AR79" s="356"/>
      <c r="AS79" s="424"/>
      <c r="AT79" s="356"/>
      <c r="AU79" s="356"/>
      <c r="AV79" s="356"/>
      <c r="AW79" s="356"/>
      <c r="AX79" s="356"/>
      <c r="AY79" s="356"/>
      <c r="AZ79" s="356"/>
      <c r="BA79" s="356"/>
      <c r="BB79" s="356"/>
      <c r="BC79" s="356"/>
      <c r="BD79" s="356"/>
      <c r="BE79" s="356"/>
      <c r="BF79" s="356"/>
      <c r="BG79" s="356"/>
      <c r="BH79" s="356"/>
      <c r="BI79" s="356"/>
      <c r="BJ79" s="356"/>
      <c r="BK79" s="356"/>
      <c r="BL79" s="356"/>
      <c r="BM79" s="356"/>
      <c r="BN79" s="356"/>
      <c r="BO79" s="356"/>
      <c r="BP79" s="356"/>
      <c r="BQ79" s="356"/>
      <c r="BR79" s="356"/>
      <c r="BS79" s="356"/>
      <c r="BT79" s="356"/>
      <c r="BU79" s="356"/>
      <c r="BV79" s="356"/>
      <c r="BW79" s="356"/>
      <c r="BX79" s="356"/>
      <c r="CI79" s="356"/>
      <c r="CJ79" s="356"/>
      <c r="CK79" s="356"/>
      <c r="CP79" s="356"/>
      <c r="CQ79" s="356"/>
      <c r="CR79" s="356"/>
      <c r="CS79" s="356"/>
      <c r="CT79" s="356"/>
      <c r="CU79" s="356"/>
      <c r="CV79" s="356"/>
      <c r="CW79" s="356"/>
      <c r="CX79" s="356"/>
      <c r="CY79" s="356"/>
      <c r="CZ79" s="356"/>
      <c r="DA79" s="356"/>
      <c r="DB79" s="356"/>
      <c r="DC79" s="356"/>
      <c r="DD79" s="356"/>
      <c r="DE79" s="356"/>
      <c r="DF79" s="356"/>
      <c r="DG79" s="356"/>
      <c r="DH79" s="356"/>
      <c r="DI79" s="356"/>
      <c r="DJ79" s="356"/>
      <c r="DK79" s="356"/>
      <c r="DL79" s="356"/>
      <c r="DM79" s="356"/>
      <c r="DN79" s="356"/>
      <c r="DO79" s="356"/>
      <c r="DP79" s="356"/>
      <c r="DQ79" s="356"/>
    </row>
    <row r="80" spans="1:121" hidden="1" outlineLevel="1">
      <c r="A80" s="41"/>
      <c r="B80" s="424"/>
      <c r="C80" s="356"/>
      <c r="D80" s="356"/>
      <c r="E80" s="356"/>
      <c r="F80" s="356"/>
      <c r="G80" s="356"/>
      <c r="H80" s="424"/>
      <c r="I80" s="424"/>
      <c r="J80" s="356"/>
      <c r="K80" s="356"/>
      <c r="L80" s="356"/>
      <c r="M80" s="356"/>
      <c r="N80" s="356"/>
      <c r="O80" s="356"/>
      <c r="P80" s="356"/>
      <c r="Q80" s="356"/>
      <c r="R80" s="425"/>
      <c r="S80" s="425"/>
      <c r="T80" s="356"/>
      <c r="U80" s="356"/>
      <c r="V80" s="356"/>
      <c r="W80" s="356"/>
      <c r="X80" s="426"/>
      <c r="Y80" s="426"/>
      <c r="Z80" s="356"/>
      <c r="AA80" s="356"/>
      <c r="AB80" s="356"/>
      <c r="AC80" s="356"/>
      <c r="AD80" s="425"/>
      <c r="AE80" s="356"/>
      <c r="AF80" s="356"/>
      <c r="AG80" s="356"/>
      <c r="AH80" s="356"/>
      <c r="AI80" s="426"/>
      <c r="AJ80" s="356"/>
      <c r="AK80" s="356"/>
      <c r="AL80" s="356"/>
      <c r="AM80" s="356"/>
      <c r="AN80" s="356"/>
      <c r="AO80" s="356"/>
      <c r="AP80" s="356"/>
      <c r="AQ80" s="356"/>
      <c r="AR80" s="356"/>
      <c r="AS80" s="424"/>
      <c r="AT80" s="356"/>
      <c r="AU80" s="356"/>
      <c r="AV80" s="356"/>
      <c r="AW80" s="356"/>
      <c r="AX80" s="356"/>
      <c r="AY80" s="356"/>
      <c r="AZ80" s="356"/>
      <c r="BA80" s="356"/>
      <c r="BB80" s="356"/>
      <c r="BC80" s="356"/>
      <c r="BD80" s="356"/>
      <c r="BE80" s="356"/>
      <c r="BF80" s="356"/>
      <c r="BG80" s="356"/>
      <c r="BH80" s="356"/>
      <c r="BI80" s="356"/>
      <c r="BJ80" s="356"/>
      <c r="BK80" s="356"/>
      <c r="BL80" s="356"/>
      <c r="BM80" s="356"/>
      <c r="BN80" s="356"/>
      <c r="BO80" s="356"/>
      <c r="BP80" s="356"/>
      <c r="BQ80" s="356"/>
      <c r="BR80" s="356"/>
      <c r="BS80" s="356"/>
      <c r="BT80" s="356"/>
      <c r="BU80" s="356"/>
      <c r="BV80" s="356"/>
      <c r="BW80" s="356"/>
      <c r="BX80" s="356"/>
      <c r="CI80" s="356"/>
      <c r="CJ80" s="356"/>
      <c r="CK80" s="356"/>
      <c r="CP80" s="356"/>
      <c r="CQ80" s="356"/>
      <c r="CR80" s="356"/>
      <c r="CS80" s="356"/>
      <c r="CT80" s="356"/>
      <c r="CU80" s="356"/>
      <c r="CV80" s="356"/>
      <c r="CW80" s="356"/>
      <c r="CX80" s="356"/>
      <c r="CY80" s="356"/>
      <c r="CZ80" s="356"/>
      <c r="DA80" s="356"/>
      <c r="DB80" s="356"/>
      <c r="DC80" s="356"/>
      <c r="DD80" s="356"/>
      <c r="DE80" s="356"/>
      <c r="DF80" s="356"/>
      <c r="DG80" s="356"/>
      <c r="DH80" s="356"/>
      <c r="DI80" s="356"/>
      <c r="DJ80" s="356"/>
      <c r="DK80" s="356"/>
      <c r="DL80" s="356"/>
      <c r="DM80" s="356"/>
      <c r="DN80" s="356"/>
      <c r="DO80" s="356"/>
      <c r="DP80" s="356"/>
      <c r="DQ80" s="356"/>
    </row>
    <row r="81" spans="1:121" hidden="1" outlineLevel="1">
      <c r="A81" s="41"/>
      <c r="B81" s="424"/>
      <c r="C81" s="356"/>
      <c r="D81" s="356"/>
      <c r="E81" s="356"/>
      <c r="F81" s="356"/>
      <c r="G81" s="356"/>
      <c r="H81" s="424"/>
      <c r="I81" s="424"/>
      <c r="J81" s="356"/>
      <c r="K81" s="356"/>
      <c r="L81" s="356"/>
      <c r="M81" s="356"/>
      <c r="N81" s="356"/>
      <c r="O81" s="356"/>
      <c r="P81" s="356"/>
      <c r="Q81" s="356"/>
      <c r="R81" s="425"/>
      <c r="S81" s="425"/>
      <c r="T81" s="356"/>
      <c r="U81" s="356"/>
      <c r="V81" s="356"/>
      <c r="W81" s="356"/>
      <c r="X81" s="426"/>
      <c r="Y81" s="426"/>
      <c r="Z81" s="356"/>
      <c r="AA81" s="356"/>
      <c r="AB81" s="356"/>
      <c r="AC81" s="356"/>
      <c r="AD81" s="425"/>
      <c r="AE81" s="356"/>
      <c r="AF81" s="356"/>
      <c r="AG81" s="356"/>
      <c r="AH81" s="356"/>
      <c r="AI81" s="426"/>
      <c r="AJ81" s="356"/>
      <c r="AK81" s="356"/>
      <c r="AL81" s="356"/>
      <c r="AM81" s="356"/>
      <c r="AN81" s="356"/>
      <c r="AO81" s="356"/>
      <c r="AP81" s="356"/>
      <c r="AQ81" s="356"/>
      <c r="AR81" s="356"/>
      <c r="AS81" s="424"/>
      <c r="AT81" s="356"/>
      <c r="AU81" s="356"/>
      <c r="AV81" s="356"/>
      <c r="AW81" s="356"/>
      <c r="AX81" s="356"/>
      <c r="AY81" s="356"/>
      <c r="AZ81" s="356"/>
      <c r="BA81" s="356"/>
      <c r="BB81" s="356"/>
      <c r="BC81" s="356"/>
      <c r="BD81" s="356"/>
      <c r="BE81" s="356"/>
      <c r="BF81" s="356"/>
      <c r="BG81" s="356"/>
      <c r="BH81" s="356"/>
      <c r="BI81" s="356"/>
      <c r="BJ81" s="356"/>
      <c r="BK81" s="356"/>
      <c r="BL81" s="356"/>
      <c r="BM81" s="356"/>
      <c r="BN81" s="356"/>
      <c r="BO81" s="356"/>
      <c r="BP81" s="356"/>
      <c r="BQ81" s="356"/>
      <c r="BR81" s="356"/>
      <c r="BS81" s="356"/>
      <c r="BT81" s="356"/>
      <c r="BU81" s="356"/>
      <c r="BV81" s="356"/>
      <c r="BW81" s="356"/>
      <c r="BX81" s="356"/>
      <c r="CI81" s="356"/>
      <c r="CJ81" s="356"/>
      <c r="CK81" s="356"/>
      <c r="CP81" s="356"/>
      <c r="CQ81" s="356"/>
      <c r="CR81" s="356"/>
      <c r="CS81" s="356"/>
      <c r="CT81" s="356"/>
      <c r="CU81" s="356"/>
      <c r="CV81" s="356"/>
      <c r="CW81" s="356"/>
      <c r="CX81" s="356"/>
      <c r="CY81" s="356"/>
      <c r="CZ81" s="356"/>
      <c r="DA81" s="356"/>
      <c r="DB81" s="356"/>
      <c r="DC81" s="356"/>
      <c r="DD81" s="356"/>
      <c r="DE81" s="356"/>
      <c r="DF81" s="356"/>
      <c r="DG81" s="356"/>
      <c r="DH81" s="356"/>
      <c r="DI81" s="356"/>
      <c r="DJ81" s="356"/>
      <c r="DK81" s="356"/>
      <c r="DL81" s="356"/>
      <c r="DM81" s="356"/>
      <c r="DN81" s="356"/>
      <c r="DO81" s="356"/>
      <c r="DP81" s="356"/>
      <c r="DQ81" s="356"/>
    </row>
    <row r="82" spans="1:121" hidden="1" outlineLevel="1">
      <c r="A82" s="41"/>
      <c r="B82" s="424"/>
      <c r="C82" s="356"/>
      <c r="D82" s="356"/>
      <c r="E82" s="356"/>
      <c r="F82" s="356"/>
      <c r="G82" s="356"/>
      <c r="H82" s="424"/>
      <c r="I82" s="424"/>
      <c r="J82" s="356"/>
      <c r="K82" s="356"/>
      <c r="L82" s="356"/>
      <c r="M82" s="356"/>
      <c r="N82" s="356"/>
      <c r="O82" s="356"/>
      <c r="P82" s="356"/>
      <c r="Q82" s="356"/>
      <c r="R82" s="425"/>
      <c r="S82" s="425"/>
      <c r="T82" s="356"/>
      <c r="U82" s="356"/>
      <c r="V82" s="356"/>
      <c r="W82" s="356"/>
      <c r="X82" s="426"/>
      <c r="Y82" s="426"/>
      <c r="Z82" s="356"/>
      <c r="AA82" s="356"/>
      <c r="AB82" s="356"/>
      <c r="AC82" s="356"/>
      <c r="AD82" s="425"/>
      <c r="AE82" s="356"/>
      <c r="AF82" s="356"/>
      <c r="AG82" s="356"/>
      <c r="AH82" s="356"/>
      <c r="AI82" s="426"/>
      <c r="AJ82" s="356"/>
      <c r="AK82" s="356"/>
      <c r="AL82" s="356"/>
      <c r="AM82" s="356"/>
      <c r="AN82" s="356"/>
      <c r="AO82" s="356"/>
      <c r="AP82" s="356"/>
      <c r="AQ82" s="356"/>
      <c r="AR82" s="356"/>
      <c r="AS82" s="424"/>
      <c r="AT82" s="356"/>
      <c r="AU82" s="356"/>
      <c r="AV82" s="356"/>
      <c r="AW82" s="356"/>
      <c r="AX82" s="356"/>
      <c r="AY82" s="356"/>
      <c r="AZ82" s="356"/>
      <c r="BA82" s="356"/>
      <c r="BB82" s="356"/>
      <c r="BC82" s="356"/>
      <c r="BD82" s="356"/>
      <c r="BE82" s="356"/>
      <c r="BF82" s="356"/>
      <c r="BG82" s="356"/>
      <c r="BH82" s="356"/>
      <c r="BI82" s="356"/>
      <c r="BJ82" s="356"/>
      <c r="BK82" s="356"/>
      <c r="BL82" s="356"/>
      <c r="BM82" s="356"/>
      <c r="BN82" s="356"/>
      <c r="BO82" s="356"/>
      <c r="BP82" s="356"/>
      <c r="BQ82" s="356"/>
      <c r="BR82" s="356"/>
      <c r="BS82" s="356"/>
      <c r="BT82" s="356"/>
      <c r="BU82" s="356"/>
      <c r="BV82" s="356"/>
      <c r="BW82" s="356"/>
      <c r="BX82" s="356"/>
      <c r="CI82" s="356"/>
      <c r="CJ82" s="356"/>
      <c r="CK82" s="356"/>
      <c r="CP82" s="356"/>
      <c r="CQ82" s="356"/>
      <c r="CR82" s="356"/>
      <c r="CS82" s="356"/>
      <c r="CT82" s="356"/>
      <c r="CU82" s="356"/>
      <c r="CV82" s="356"/>
      <c r="CW82" s="356"/>
      <c r="CX82" s="356"/>
      <c r="CY82" s="356"/>
      <c r="CZ82" s="356"/>
      <c r="DA82" s="356"/>
      <c r="DB82" s="356"/>
      <c r="DC82" s="356"/>
      <c r="DD82" s="356"/>
      <c r="DE82" s="356"/>
      <c r="DF82" s="356"/>
      <c r="DG82" s="356"/>
      <c r="DH82" s="356"/>
      <c r="DI82" s="356"/>
      <c r="DJ82" s="356"/>
      <c r="DK82" s="356"/>
      <c r="DL82" s="356"/>
      <c r="DM82" s="356"/>
      <c r="DN82" s="356"/>
      <c r="DO82" s="356"/>
      <c r="DP82" s="356"/>
      <c r="DQ82" s="356"/>
    </row>
    <row r="83" spans="1:121" hidden="1" outlineLevel="1">
      <c r="A83" s="41"/>
      <c r="B83" s="424"/>
      <c r="C83" s="356"/>
      <c r="D83" s="356"/>
      <c r="E83" s="356"/>
      <c r="F83" s="356"/>
      <c r="G83" s="356"/>
      <c r="H83" s="424"/>
      <c r="I83" s="424"/>
      <c r="J83" s="356"/>
      <c r="K83" s="356"/>
      <c r="L83" s="356"/>
      <c r="M83" s="356"/>
      <c r="N83" s="356"/>
      <c r="O83" s="356"/>
      <c r="P83" s="356"/>
      <c r="Q83" s="356"/>
      <c r="R83" s="425"/>
      <c r="S83" s="425"/>
      <c r="T83" s="356"/>
      <c r="U83" s="356"/>
      <c r="V83" s="356"/>
      <c r="W83" s="356"/>
      <c r="X83" s="426"/>
      <c r="Y83" s="426"/>
      <c r="Z83" s="356"/>
      <c r="AA83" s="356"/>
      <c r="AB83" s="356"/>
      <c r="AC83" s="356"/>
      <c r="AD83" s="425"/>
      <c r="AE83" s="356"/>
      <c r="AF83" s="356"/>
      <c r="AG83" s="356"/>
      <c r="AH83" s="356"/>
      <c r="AI83" s="426"/>
      <c r="AJ83" s="356"/>
      <c r="AK83" s="356"/>
      <c r="AL83" s="356"/>
      <c r="AM83" s="356"/>
      <c r="AN83" s="356"/>
      <c r="AO83" s="356"/>
      <c r="AP83" s="356"/>
      <c r="AQ83" s="356"/>
      <c r="AR83" s="356"/>
      <c r="AS83" s="424"/>
      <c r="AT83" s="356"/>
      <c r="AU83" s="356"/>
      <c r="AV83" s="356"/>
      <c r="AW83" s="356"/>
      <c r="AX83" s="356"/>
      <c r="AY83" s="356"/>
      <c r="AZ83" s="356"/>
      <c r="BA83" s="356"/>
      <c r="BB83" s="356"/>
      <c r="BC83" s="356"/>
      <c r="BD83" s="356"/>
      <c r="BE83" s="356"/>
      <c r="BF83" s="356"/>
      <c r="BG83" s="356"/>
      <c r="BH83" s="356"/>
      <c r="BI83" s="356"/>
      <c r="BJ83" s="356"/>
      <c r="BK83" s="356"/>
      <c r="BL83" s="356"/>
      <c r="BM83" s="356"/>
      <c r="BN83" s="356"/>
      <c r="BO83" s="356"/>
      <c r="BP83" s="356"/>
      <c r="BQ83" s="356"/>
      <c r="BR83" s="356"/>
      <c r="BS83" s="356"/>
      <c r="BT83" s="356"/>
      <c r="BU83" s="356"/>
      <c r="BV83" s="356"/>
      <c r="BW83" s="356"/>
      <c r="BX83" s="356"/>
      <c r="CI83" s="356"/>
      <c r="CJ83" s="356"/>
      <c r="CK83" s="356"/>
      <c r="CP83" s="356"/>
      <c r="CQ83" s="356"/>
      <c r="CR83" s="356"/>
      <c r="CS83" s="356"/>
      <c r="CT83" s="356"/>
      <c r="CU83" s="356"/>
      <c r="CV83" s="356"/>
      <c r="CW83" s="356"/>
      <c r="CX83" s="356"/>
      <c r="CY83" s="356"/>
      <c r="CZ83" s="356"/>
      <c r="DA83" s="356"/>
      <c r="DB83" s="356"/>
      <c r="DC83" s="356"/>
      <c r="DD83" s="356"/>
      <c r="DE83" s="356"/>
      <c r="DF83" s="356"/>
      <c r="DG83" s="356"/>
      <c r="DH83" s="356"/>
      <c r="DI83" s="356"/>
      <c r="DJ83" s="356"/>
      <c r="DK83" s="356"/>
      <c r="DL83" s="356"/>
      <c r="DM83" s="356"/>
      <c r="DN83" s="356"/>
      <c r="DO83" s="356"/>
      <c r="DP83" s="356"/>
      <c r="DQ83" s="356"/>
    </row>
    <row r="84" spans="1:121" hidden="1" outlineLevel="1">
      <c r="A84" s="41"/>
      <c r="B84" s="424"/>
      <c r="C84" s="356"/>
      <c r="D84" s="356"/>
      <c r="E84" s="356"/>
      <c r="F84" s="356"/>
      <c r="G84" s="356"/>
      <c r="H84" s="424"/>
      <c r="I84" s="424"/>
      <c r="J84" s="356"/>
      <c r="K84" s="356"/>
      <c r="L84" s="356"/>
      <c r="M84" s="356"/>
      <c r="N84" s="356"/>
      <c r="O84" s="356"/>
      <c r="P84" s="356"/>
      <c r="Q84" s="356"/>
      <c r="R84" s="425"/>
      <c r="S84" s="425"/>
      <c r="T84" s="356"/>
      <c r="U84" s="356"/>
      <c r="V84" s="356"/>
      <c r="W84" s="356"/>
      <c r="X84" s="426"/>
      <c r="Y84" s="426"/>
      <c r="Z84" s="356"/>
      <c r="AA84" s="356"/>
      <c r="AB84" s="356"/>
      <c r="AC84" s="356"/>
      <c r="AD84" s="425"/>
      <c r="AE84" s="356"/>
      <c r="AF84" s="356"/>
      <c r="AG84" s="356"/>
      <c r="AH84" s="356"/>
      <c r="AI84" s="426"/>
      <c r="AJ84" s="356"/>
      <c r="AK84" s="356"/>
      <c r="AL84" s="356"/>
      <c r="AM84" s="356"/>
      <c r="AN84" s="356"/>
      <c r="AO84" s="356"/>
      <c r="AP84" s="356"/>
      <c r="AQ84" s="356"/>
      <c r="AR84" s="356"/>
      <c r="AS84" s="424"/>
      <c r="AT84" s="356"/>
      <c r="AU84" s="356"/>
      <c r="AV84" s="356"/>
      <c r="AW84" s="356"/>
      <c r="AX84" s="356"/>
      <c r="AY84" s="356"/>
      <c r="AZ84" s="356"/>
      <c r="BA84" s="356"/>
      <c r="BB84" s="356"/>
      <c r="BC84" s="356"/>
      <c r="BD84" s="356"/>
      <c r="BE84" s="356"/>
      <c r="BF84" s="356"/>
      <c r="BG84" s="356"/>
      <c r="BH84" s="356"/>
      <c r="BI84" s="356"/>
      <c r="BJ84" s="356"/>
      <c r="BK84" s="356"/>
      <c r="BL84" s="356"/>
      <c r="BM84" s="356"/>
      <c r="BN84" s="356"/>
      <c r="BO84" s="356"/>
      <c r="BP84" s="356"/>
      <c r="BQ84" s="356"/>
      <c r="BR84" s="356"/>
      <c r="BS84" s="356"/>
      <c r="BT84" s="356"/>
      <c r="BU84" s="356"/>
      <c r="BV84" s="356"/>
      <c r="BW84" s="356"/>
      <c r="BX84" s="356"/>
      <c r="CI84" s="356"/>
      <c r="CJ84" s="356"/>
      <c r="CK84" s="356"/>
      <c r="CP84" s="356"/>
      <c r="CQ84" s="356"/>
      <c r="CR84" s="356"/>
      <c r="CS84" s="356"/>
      <c r="CT84" s="356"/>
      <c r="CU84" s="356"/>
      <c r="CV84" s="356"/>
      <c r="CW84" s="356"/>
      <c r="CX84" s="356"/>
      <c r="CY84" s="356"/>
      <c r="CZ84" s="356"/>
      <c r="DA84" s="356"/>
      <c r="DB84" s="356"/>
      <c r="DC84" s="356"/>
      <c r="DD84" s="356"/>
      <c r="DE84" s="356"/>
      <c r="DF84" s="356"/>
      <c r="DG84" s="356"/>
      <c r="DH84" s="356"/>
      <c r="DI84" s="356"/>
      <c r="DJ84" s="356"/>
      <c r="DK84" s="356"/>
      <c r="DL84" s="356"/>
      <c r="DM84" s="356"/>
      <c r="DN84" s="356"/>
      <c r="DO84" s="356"/>
      <c r="DP84" s="356"/>
      <c r="DQ84" s="356"/>
    </row>
    <row r="85" spans="1:121" hidden="1" outlineLevel="1">
      <c r="A85" s="41"/>
      <c r="B85" s="424"/>
      <c r="C85" s="356"/>
      <c r="D85" s="356"/>
      <c r="E85" s="356"/>
      <c r="F85" s="356"/>
      <c r="G85" s="356"/>
      <c r="H85" s="424"/>
      <c r="I85" s="424"/>
      <c r="J85" s="356"/>
      <c r="K85" s="356"/>
      <c r="L85" s="356"/>
      <c r="M85" s="356"/>
      <c r="N85" s="356"/>
      <c r="O85" s="356"/>
      <c r="P85" s="356"/>
      <c r="Q85" s="356"/>
      <c r="R85" s="425"/>
      <c r="S85" s="425"/>
      <c r="T85" s="356"/>
      <c r="U85" s="356"/>
      <c r="V85" s="356"/>
      <c r="W85" s="356"/>
      <c r="X85" s="426"/>
      <c r="Y85" s="426"/>
      <c r="Z85" s="356"/>
      <c r="AA85" s="356"/>
      <c r="AB85" s="356"/>
      <c r="AC85" s="356"/>
      <c r="AD85" s="425"/>
      <c r="AE85" s="356"/>
      <c r="AF85" s="356"/>
      <c r="AG85" s="356"/>
      <c r="AH85" s="356"/>
      <c r="AI85" s="426"/>
      <c r="AJ85" s="356"/>
      <c r="AK85" s="356"/>
      <c r="AL85" s="356"/>
      <c r="AM85" s="356"/>
      <c r="AN85" s="356"/>
      <c r="AO85" s="356"/>
      <c r="AP85" s="356"/>
      <c r="AQ85" s="356"/>
      <c r="AR85" s="356"/>
      <c r="AS85" s="424"/>
      <c r="AT85" s="356"/>
      <c r="AU85" s="356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56"/>
      <c r="BX85" s="356"/>
      <c r="CI85" s="356"/>
      <c r="CJ85" s="356"/>
      <c r="CK85" s="356"/>
      <c r="CP85" s="356"/>
      <c r="CQ85" s="356"/>
      <c r="CR85" s="356"/>
      <c r="CS85" s="356"/>
      <c r="CT85" s="356"/>
      <c r="CU85" s="356"/>
      <c r="CV85" s="356"/>
      <c r="CW85" s="356"/>
      <c r="CX85" s="356"/>
      <c r="CY85" s="356"/>
      <c r="CZ85" s="356"/>
      <c r="DA85" s="356"/>
      <c r="DB85" s="356"/>
      <c r="DC85" s="356"/>
      <c r="DD85" s="356"/>
      <c r="DE85" s="356"/>
      <c r="DF85" s="356"/>
      <c r="DG85" s="356"/>
      <c r="DH85" s="356"/>
      <c r="DI85" s="356"/>
      <c r="DJ85" s="356"/>
      <c r="DK85" s="356"/>
      <c r="DL85" s="356"/>
      <c r="DM85" s="356"/>
      <c r="DN85" s="356"/>
      <c r="DO85" s="356"/>
      <c r="DP85" s="356"/>
      <c r="DQ85" s="356"/>
    </row>
    <row r="86" spans="1:121" hidden="1" outlineLevel="1">
      <c r="A86" s="41"/>
      <c r="B86" s="424"/>
      <c r="C86" s="356"/>
      <c r="D86" s="356"/>
      <c r="E86" s="356"/>
      <c r="F86" s="356"/>
      <c r="G86" s="356"/>
      <c r="H86" s="424"/>
      <c r="I86" s="424"/>
      <c r="J86" s="356"/>
      <c r="K86" s="356"/>
      <c r="L86" s="356"/>
      <c r="M86" s="356"/>
      <c r="N86" s="356"/>
      <c r="O86" s="356"/>
      <c r="P86" s="356"/>
      <c r="Q86" s="356"/>
      <c r="R86" s="425"/>
      <c r="S86" s="425"/>
      <c r="T86" s="356"/>
      <c r="U86" s="356"/>
      <c r="V86" s="356"/>
      <c r="W86" s="356"/>
      <c r="X86" s="426"/>
      <c r="Y86" s="426"/>
      <c r="Z86" s="356"/>
      <c r="AA86" s="356"/>
      <c r="AB86" s="356"/>
      <c r="AC86" s="356"/>
      <c r="AD86" s="425"/>
      <c r="AE86" s="356"/>
      <c r="AF86" s="356"/>
      <c r="AG86" s="356"/>
      <c r="AH86" s="356"/>
      <c r="AI86" s="426"/>
      <c r="AJ86" s="356"/>
      <c r="AK86" s="356"/>
      <c r="AL86" s="356"/>
      <c r="AM86" s="356"/>
      <c r="AN86" s="356"/>
      <c r="AO86" s="356"/>
      <c r="AP86" s="356"/>
      <c r="AQ86" s="356"/>
      <c r="AR86" s="356"/>
      <c r="AS86" s="424"/>
      <c r="AT86" s="356"/>
      <c r="AU86" s="356"/>
      <c r="AV86" s="356"/>
      <c r="AW86" s="356"/>
      <c r="AX86" s="356"/>
      <c r="AY86" s="356"/>
      <c r="AZ86" s="356"/>
      <c r="BA86" s="356"/>
      <c r="BB86" s="356"/>
      <c r="BC86" s="356"/>
      <c r="BD86" s="356"/>
      <c r="BE86" s="356"/>
      <c r="BF86" s="356"/>
      <c r="BG86" s="356"/>
      <c r="BH86" s="356"/>
      <c r="BI86" s="356"/>
      <c r="BJ86" s="356"/>
      <c r="BK86" s="356"/>
      <c r="BL86" s="356"/>
      <c r="BM86" s="356"/>
      <c r="BN86" s="356"/>
      <c r="BO86" s="356"/>
      <c r="BP86" s="356"/>
      <c r="BQ86" s="356"/>
      <c r="BR86" s="356"/>
      <c r="BS86" s="356"/>
      <c r="BT86" s="356"/>
      <c r="BU86" s="356"/>
      <c r="BV86" s="356"/>
      <c r="BW86" s="356"/>
      <c r="BX86" s="356"/>
      <c r="CI86" s="356"/>
      <c r="CJ86" s="356"/>
      <c r="CK86" s="356"/>
      <c r="CP86" s="356"/>
      <c r="CQ86" s="356"/>
      <c r="CR86" s="356"/>
      <c r="CS86" s="356"/>
      <c r="CT86" s="356"/>
      <c r="CU86" s="356"/>
      <c r="CV86" s="356"/>
      <c r="CW86" s="356"/>
      <c r="CX86" s="356"/>
      <c r="CY86" s="356"/>
      <c r="CZ86" s="356"/>
      <c r="DA86" s="356"/>
      <c r="DB86" s="356"/>
      <c r="DC86" s="356"/>
      <c r="DD86" s="356"/>
      <c r="DE86" s="356"/>
      <c r="DF86" s="356"/>
      <c r="DG86" s="356"/>
      <c r="DH86" s="356"/>
      <c r="DI86" s="356"/>
      <c r="DJ86" s="356"/>
      <c r="DK86" s="356"/>
      <c r="DL86" s="356"/>
      <c r="DM86" s="356"/>
      <c r="DN86" s="356"/>
      <c r="DO86" s="356"/>
      <c r="DP86" s="356"/>
      <c r="DQ86" s="356"/>
    </row>
    <row r="87" spans="1:121" hidden="1" outlineLevel="1">
      <c r="A87" s="41"/>
      <c r="B87" s="424"/>
      <c r="C87" s="356"/>
      <c r="D87" s="356"/>
      <c r="E87" s="356"/>
      <c r="F87" s="356"/>
      <c r="G87" s="356"/>
      <c r="H87" s="424"/>
      <c r="I87" s="424"/>
      <c r="J87" s="356"/>
      <c r="K87" s="356"/>
      <c r="L87" s="356"/>
      <c r="M87" s="356"/>
      <c r="N87" s="356"/>
      <c r="O87" s="356"/>
      <c r="P87" s="356"/>
      <c r="Q87" s="356"/>
      <c r="R87" s="425"/>
      <c r="S87" s="425"/>
      <c r="T87" s="356"/>
      <c r="U87" s="356"/>
      <c r="V87" s="356"/>
      <c r="W87" s="356"/>
      <c r="X87" s="426"/>
      <c r="Y87" s="426"/>
      <c r="Z87" s="356"/>
      <c r="AA87" s="356"/>
      <c r="AB87" s="356"/>
      <c r="AC87" s="356"/>
      <c r="AD87" s="425"/>
      <c r="AE87" s="356"/>
      <c r="AF87" s="356"/>
      <c r="AG87" s="356"/>
      <c r="AH87" s="356"/>
      <c r="AI87" s="426"/>
      <c r="AJ87" s="356"/>
      <c r="AK87" s="356"/>
      <c r="AL87" s="356"/>
      <c r="AM87" s="356"/>
      <c r="AN87" s="356"/>
      <c r="AO87" s="356"/>
      <c r="AP87" s="356"/>
      <c r="AQ87" s="356"/>
      <c r="AR87" s="356"/>
      <c r="AS87" s="424"/>
      <c r="AT87" s="356"/>
      <c r="AU87" s="356"/>
      <c r="AV87" s="356"/>
      <c r="AW87" s="356"/>
      <c r="AX87" s="356"/>
      <c r="AY87" s="356"/>
      <c r="AZ87" s="356"/>
      <c r="BA87" s="356"/>
      <c r="BB87" s="356"/>
      <c r="BC87" s="356"/>
      <c r="BD87" s="356"/>
      <c r="BE87" s="356"/>
      <c r="BF87" s="356"/>
      <c r="BG87" s="356"/>
      <c r="BH87" s="356"/>
      <c r="BI87" s="356"/>
      <c r="BJ87" s="356"/>
      <c r="BK87" s="356"/>
      <c r="BL87" s="356"/>
      <c r="BM87" s="356"/>
      <c r="BN87" s="356"/>
      <c r="BO87" s="356"/>
      <c r="BP87" s="356"/>
      <c r="BQ87" s="356"/>
      <c r="BR87" s="356"/>
      <c r="BS87" s="356"/>
      <c r="BT87" s="356"/>
      <c r="BU87" s="356"/>
      <c r="BV87" s="356"/>
      <c r="BW87" s="356"/>
      <c r="BX87" s="356"/>
      <c r="CI87" s="356"/>
      <c r="CJ87" s="356"/>
      <c r="CK87" s="356"/>
      <c r="CP87" s="356"/>
      <c r="CQ87" s="356"/>
      <c r="CR87" s="356"/>
      <c r="CS87" s="356"/>
      <c r="CT87" s="356"/>
      <c r="CU87" s="356"/>
      <c r="CV87" s="356"/>
      <c r="CW87" s="356"/>
      <c r="CX87" s="356"/>
      <c r="CY87" s="356"/>
      <c r="CZ87" s="356"/>
      <c r="DA87" s="356"/>
      <c r="DB87" s="356"/>
      <c r="DC87" s="356"/>
      <c r="DD87" s="356"/>
      <c r="DE87" s="356"/>
      <c r="DF87" s="356"/>
      <c r="DG87" s="356"/>
      <c r="DH87" s="356"/>
      <c r="DI87" s="356"/>
      <c r="DJ87" s="356"/>
      <c r="DK87" s="356"/>
      <c r="DL87" s="356"/>
      <c r="DM87" s="356"/>
      <c r="DN87" s="356"/>
      <c r="DO87" s="356"/>
      <c r="DP87" s="356"/>
      <c r="DQ87" s="356"/>
    </row>
    <row r="88" spans="1:121" hidden="1" outlineLevel="1">
      <c r="A88" s="41"/>
      <c r="B88" s="424"/>
      <c r="C88" s="356"/>
      <c r="D88" s="356"/>
      <c r="E88" s="356"/>
      <c r="F88" s="356"/>
      <c r="G88" s="356"/>
      <c r="H88" s="424"/>
      <c r="I88" s="424"/>
      <c r="J88" s="356"/>
      <c r="K88" s="356"/>
      <c r="L88" s="356"/>
      <c r="M88" s="356"/>
      <c r="N88" s="356"/>
      <c r="O88" s="356"/>
      <c r="P88" s="356"/>
      <c r="Q88" s="356"/>
      <c r="R88" s="425"/>
      <c r="S88" s="425"/>
      <c r="T88" s="356"/>
      <c r="U88" s="356"/>
      <c r="V88" s="356"/>
      <c r="W88" s="356"/>
      <c r="X88" s="426"/>
      <c r="Y88" s="426"/>
      <c r="Z88" s="356"/>
      <c r="AA88" s="356"/>
      <c r="AB88" s="356"/>
      <c r="AC88" s="356"/>
      <c r="AD88" s="425"/>
      <c r="AE88" s="356"/>
      <c r="AF88" s="356"/>
      <c r="AG88" s="356"/>
      <c r="AH88" s="356"/>
      <c r="AI88" s="426"/>
      <c r="AJ88" s="356"/>
      <c r="AK88" s="356"/>
      <c r="AL88" s="356"/>
      <c r="AM88" s="356"/>
      <c r="AN88" s="356"/>
      <c r="AO88" s="356"/>
      <c r="AP88" s="356"/>
      <c r="AQ88" s="356"/>
      <c r="AR88" s="356"/>
      <c r="AS88" s="424"/>
      <c r="AT88" s="356"/>
      <c r="AU88" s="356"/>
      <c r="AV88" s="356"/>
      <c r="AW88" s="356"/>
      <c r="AX88" s="356"/>
      <c r="AY88" s="356"/>
      <c r="AZ88" s="356"/>
      <c r="BA88" s="356"/>
      <c r="BB88" s="356"/>
      <c r="BC88" s="356"/>
      <c r="BD88" s="356"/>
      <c r="BE88" s="356"/>
      <c r="BF88" s="356"/>
      <c r="BG88" s="356"/>
      <c r="BH88" s="356"/>
      <c r="BI88" s="356"/>
      <c r="BJ88" s="356"/>
      <c r="BK88" s="356"/>
      <c r="BL88" s="356"/>
      <c r="BM88" s="356"/>
      <c r="BN88" s="356"/>
      <c r="BO88" s="356"/>
      <c r="BP88" s="356"/>
      <c r="BQ88" s="356"/>
      <c r="BR88" s="356"/>
      <c r="BS88" s="356"/>
      <c r="BT88" s="356"/>
      <c r="BU88" s="356"/>
      <c r="BV88" s="356"/>
      <c r="BW88" s="356"/>
      <c r="BX88" s="356"/>
      <c r="CI88" s="356"/>
      <c r="CJ88" s="356"/>
      <c r="CK88" s="356"/>
      <c r="CP88" s="356"/>
      <c r="CQ88" s="356"/>
      <c r="CR88" s="356"/>
      <c r="CS88" s="356"/>
      <c r="CT88" s="356"/>
      <c r="CU88" s="356"/>
      <c r="CV88" s="356"/>
      <c r="CW88" s="356"/>
      <c r="CX88" s="356"/>
      <c r="CY88" s="356"/>
      <c r="CZ88" s="356"/>
      <c r="DA88" s="356"/>
      <c r="DB88" s="356"/>
      <c r="DC88" s="356"/>
      <c r="DD88" s="356"/>
      <c r="DE88" s="356"/>
      <c r="DF88" s="356"/>
      <c r="DG88" s="356"/>
      <c r="DH88" s="356"/>
      <c r="DI88" s="356"/>
      <c r="DJ88" s="356"/>
      <c r="DK88" s="356"/>
      <c r="DL88" s="356"/>
      <c r="DM88" s="356"/>
      <c r="DN88" s="356"/>
      <c r="DO88" s="356"/>
      <c r="DP88" s="356"/>
      <c r="DQ88" s="356"/>
    </row>
    <row r="89" spans="1:121" hidden="1" outlineLevel="1">
      <c r="A89" s="41"/>
      <c r="B89" s="424"/>
      <c r="C89" s="356"/>
      <c r="D89" s="356"/>
      <c r="E89" s="356"/>
      <c r="F89" s="356"/>
      <c r="G89" s="356"/>
      <c r="H89" s="424"/>
      <c r="I89" s="424"/>
      <c r="J89" s="356"/>
      <c r="K89" s="356"/>
      <c r="L89" s="356"/>
      <c r="M89" s="356"/>
      <c r="N89" s="356"/>
      <c r="O89" s="356"/>
      <c r="P89" s="356"/>
      <c r="Q89" s="356"/>
      <c r="R89" s="425"/>
      <c r="S89" s="425"/>
      <c r="T89" s="356"/>
      <c r="U89" s="356"/>
      <c r="V89" s="356"/>
      <c r="W89" s="356"/>
      <c r="X89" s="426"/>
      <c r="Y89" s="426"/>
      <c r="Z89" s="356"/>
      <c r="AA89" s="356"/>
      <c r="AB89" s="356"/>
      <c r="AC89" s="356"/>
      <c r="AD89" s="425"/>
      <c r="AE89" s="356"/>
      <c r="AF89" s="356"/>
      <c r="AG89" s="356"/>
      <c r="AH89" s="356"/>
      <c r="AI89" s="426"/>
      <c r="AJ89" s="356"/>
      <c r="AK89" s="356"/>
      <c r="AL89" s="356"/>
      <c r="AM89" s="356"/>
      <c r="AN89" s="356"/>
      <c r="AO89" s="356"/>
      <c r="AP89" s="356"/>
      <c r="AQ89" s="356"/>
      <c r="AR89" s="356"/>
      <c r="AS89" s="424"/>
      <c r="AT89" s="356"/>
      <c r="AU89" s="356"/>
      <c r="AV89" s="356"/>
      <c r="AW89" s="356"/>
      <c r="AX89" s="356"/>
      <c r="AY89" s="356"/>
      <c r="AZ89" s="356"/>
      <c r="BA89" s="356"/>
      <c r="BB89" s="356"/>
      <c r="BC89" s="356"/>
      <c r="BD89" s="356"/>
      <c r="BE89" s="356"/>
      <c r="BF89" s="356"/>
      <c r="BG89" s="356"/>
      <c r="BH89" s="356"/>
      <c r="BI89" s="356"/>
      <c r="BJ89" s="356"/>
      <c r="BK89" s="356"/>
      <c r="BL89" s="356"/>
      <c r="BM89" s="356"/>
      <c r="BN89" s="356"/>
      <c r="BO89" s="356"/>
      <c r="BP89" s="356"/>
      <c r="BQ89" s="356"/>
      <c r="BR89" s="356"/>
      <c r="BS89" s="356"/>
      <c r="BT89" s="356"/>
      <c r="BU89" s="356"/>
      <c r="BV89" s="356"/>
      <c r="BW89" s="356"/>
      <c r="BX89" s="356"/>
      <c r="CI89" s="356"/>
      <c r="CJ89" s="356"/>
      <c r="CK89" s="356"/>
      <c r="CP89" s="356"/>
      <c r="CQ89" s="356"/>
      <c r="CR89" s="356"/>
      <c r="CS89" s="356"/>
      <c r="CT89" s="356"/>
      <c r="CU89" s="356"/>
      <c r="CV89" s="356"/>
      <c r="CW89" s="356"/>
      <c r="CX89" s="356"/>
      <c r="CY89" s="356"/>
      <c r="CZ89" s="356"/>
      <c r="DA89" s="356"/>
      <c r="DB89" s="356"/>
      <c r="DC89" s="356"/>
      <c r="DD89" s="356"/>
      <c r="DE89" s="356"/>
      <c r="DF89" s="356"/>
      <c r="DG89" s="356"/>
      <c r="DH89" s="356"/>
      <c r="DI89" s="356"/>
      <c r="DJ89" s="356"/>
      <c r="DK89" s="356"/>
      <c r="DL89" s="356"/>
      <c r="DM89" s="356"/>
      <c r="DN89" s="356"/>
      <c r="DO89" s="356"/>
      <c r="DP89" s="356"/>
      <c r="DQ89" s="356"/>
    </row>
    <row r="90" spans="1:121" hidden="1" outlineLevel="1">
      <c r="A90" s="41"/>
      <c r="B90" s="424"/>
      <c r="C90" s="356"/>
      <c r="D90" s="356"/>
      <c r="E90" s="356"/>
      <c r="F90" s="356"/>
      <c r="G90" s="356"/>
      <c r="H90" s="424"/>
      <c r="I90" s="424"/>
      <c r="J90" s="356"/>
      <c r="K90" s="356"/>
      <c r="L90" s="356"/>
      <c r="M90" s="356"/>
      <c r="N90" s="356"/>
      <c r="O90" s="356"/>
      <c r="P90" s="356"/>
      <c r="Q90" s="356"/>
      <c r="R90" s="425"/>
      <c r="S90" s="425"/>
      <c r="T90" s="356"/>
      <c r="U90" s="356"/>
      <c r="V90" s="356"/>
      <c r="W90" s="356"/>
      <c r="X90" s="426"/>
      <c r="Y90" s="426"/>
      <c r="Z90" s="356"/>
      <c r="AA90" s="356"/>
      <c r="AB90" s="356"/>
      <c r="AC90" s="356"/>
      <c r="AD90" s="425"/>
      <c r="AE90" s="356"/>
      <c r="AF90" s="356"/>
      <c r="AG90" s="356"/>
      <c r="AH90" s="356"/>
      <c r="AI90" s="426"/>
      <c r="AJ90" s="356"/>
      <c r="AK90" s="356"/>
      <c r="AL90" s="356"/>
      <c r="AM90" s="356"/>
      <c r="AN90" s="356"/>
      <c r="AO90" s="356"/>
      <c r="AP90" s="356"/>
      <c r="AQ90" s="356"/>
      <c r="AR90" s="356"/>
      <c r="AS90" s="424"/>
      <c r="AT90" s="356"/>
      <c r="AU90" s="356"/>
      <c r="AV90" s="356"/>
      <c r="AW90" s="356"/>
      <c r="AX90" s="356"/>
      <c r="AY90" s="356"/>
      <c r="AZ90" s="356"/>
      <c r="BA90" s="356"/>
      <c r="BB90" s="356"/>
      <c r="BC90" s="356"/>
      <c r="BD90" s="356"/>
      <c r="BE90" s="356"/>
      <c r="BF90" s="356"/>
      <c r="BG90" s="356"/>
      <c r="BH90" s="356"/>
      <c r="BI90" s="356"/>
      <c r="BJ90" s="356"/>
      <c r="BK90" s="356"/>
      <c r="BL90" s="356"/>
      <c r="BM90" s="356"/>
      <c r="BN90" s="356"/>
      <c r="BO90" s="356"/>
      <c r="BP90" s="356"/>
      <c r="BQ90" s="356"/>
      <c r="BR90" s="356"/>
      <c r="BS90" s="356"/>
      <c r="BT90" s="356"/>
      <c r="BU90" s="356"/>
      <c r="BV90" s="356"/>
      <c r="BW90" s="356"/>
      <c r="BX90" s="356"/>
      <c r="CI90" s="356"/>
      <c r="CJ90" s="356"/>
      <c r="CK90" s="356"/>
      <c r="CP90" s="356"/>
      <c r="CQ90" s="356"/>
      <c r="CR90" s="356"/>
      <c r="CS90" s="356"/>
      <c r="CT90" s="356"/>
      <c r="CU90" s="356"/>
      <c r="CV90" s="356"/>
      <c r="CW90" s="356"/>
      <c r="CX90" s="356"/>
      <c r="CY90" s="356"/>
      <c r="CZ90" s="356"/>
      <c r="DA90" s="356"/>
      <c r="DB90" s="356"/>
      <c r="DC90" s="356"/>
      <c r="DD90" s="356"/>
      <c r="DE90" s="356"/>
      <c r="DF90" s="356"/>
      <c r="DG90" s="356"/>
      <c r="DH90" s="356"/>
      <c r="DI90" s="356"/>
      <c r="DJ90" s="356"/>
      <c r="DK90" s="356"/>
      <c r="DL90" s="356"/>
      <c r="DM90" s="356"/>
      <c r="DN90" s="356"/>
      <c r="DO90" s="356"/>
      <c r="DP90" s="356"/>
      <c r="DQ90" s="356"/>
    </row>
    <row r="91" spans="1:121" hidden="1" outlineLevel="1">
      <c r="A91" s="41"/>
      <c r="B91" s="424"/>
      <c r="C91" s="356"/>
      <c r="D91" s="356"/>
      <c r="E91" s="356"/>
      <c r="F91" s="356"/>
      <c r="G91" s="356"/>
      <c r="H91" s="424"/>
      <c r="I91" s="424"/>
      <c r="J91" s="356"/>
      <c r="K91" s="356"/>
      <c r="L91" s="356"/>
      <c r="M91" s="356"/>
      <c r="N91" s="356"/>
      <c r="O91" s="356"/>
      <c r="P91" s="356"/>
      <c r="Q91" s="356"/>
      <c r="R91" s="425"/>
      <c r="S91" s="425"/>
      <c r="T91" s="356"/>
      <c r="U91" s="356"/>
      <c r="V91" s="356"/>
      <c r="W91" s="356"/>
      <c r="X91" s="426"/>
      <c r="Y91" s="426"/>
      <c r="Z91" s="356"/>
      <c r="AA91" s="356"/>
      <c r="AB91" s="356"/>
      <c r="AC91" s="356"/>
      <c r="AD91" s="425"/>
      <c r="AE91" s="356"/>
      <c r="AF91" s="356"/>
      <c r="AG91" s="356"/>
      <c r="AH91" s="356"/>
      <c r="AI91" s="426"/>
      <c r="AJ91" s="356"/>
      <c r="AK91" s="356"/>
      <c r="AL91" s="356"/>
      <c r="AM91" s="356"/>
      <c r="AN91" s="356"/>
      <c r="AO91" s="356"/>
      <c r="AP91" s="356"/>
      <c r="AQ91" s="356"/>
      <c r="AR91" s="356"/>
      <c r="AS91" s="424"/>
      <c r="AT91" s="356"/>
      <c r="AU91" s="356"/>
      <c r="AV91" s="356"/>
      <c r="AW91" s="356"/>
      <c r="AX91" s="356"/>
      <c r="AY91" s="356"/>
      <c r="AZ91" s="356"/>
      <c r="BA91" s="356"/>
      <c r="BB91" s="356"/>
      <c r="BC91" s="356"/>
      <c r="BD91" s="356"/>
      <c r="BE91" s="356"/>
      <c r="BF91" s="356"/>
      <c r="BG91" s="356"/>
      <c r="BH91" s="356"/>
      <c r="BI91" s="356"/>
      <c r="BJ91" s="356"/>
      <c r="BK91" s="356"/>
      <c r="BL91" s="356"/>
      <c r="BM91" s="356"/>
      <c r="BN91" s="356"/>
      <c r="BO91" s="356"/>
      <c r="BP91" s="356"/>
      <c r="BQ91" s="356"/>
      <c r="BR91" s="356"/>
      <c r="BS91" s="356"/>
      <c r="BT91" s="356"/>
      <c r="BU91" s="356"/>
      <c r="BV91" s="356"/>
      <c r="BW91" s="356"/>
      <c r="BX91" s="356"/>
      <c r="CI91" s="356"/>
      <c r="CJ91" s="356"/>
      <c r="CK91" s="356"/>
      <c r="CP91" s="356"/>
      <c r="CQ91" s="356"/>
      <c r="CR91" s="356"/>
      <c r="CS91" s="356"/>
      <c r="CT91" s="356"/>
      <c r="CU91" s="356"/>
      <c r="CV91" s="356"/>
      <c r="CW91" s="356"/>
      <c r="CX91" s="356"/>
      <c r="CY91" s="356"/>
      <c r="CZ91" s="356"/>
      <c r="DA91" s="356"/>
      <c r="DB91" s="356"/>
      <c r="DC91" s="356"/>
      <c r="DD91" s="356"/>
      <c r="DE91" s="356"/>
      <c r="DF91" s="356"/>
      <c r="DG91" s="356"/>
      <c r="DH91" s="356"/>
      <c r="DI91" s="356"/>
      <c r="DJ91" s="356"/>
      <c r="DK91" s="356"/>
      <c r="DL91" s="356"/>
      <c r="DM91" s="356"/>
      <c r="DN91" s="356"/>
      <c r="DO91" s="356"/>
      <c r="DP91" s="356"/>
      <c r="DQ91" s="356"/>
    </row>
    <row r="92" spans="1:121" hidden="1" outlineLevel="1">
      <c r="A92" s="41"/>
      <c r="B92" s="424"/>
      <c r="C92" s="356"/>
      <c r="D92" s="356"/>
      <c r="E92" s="356"/>
      <c r="F92" s="356"/>
      <c r="G92" s="356"/>
      <c r="H92" s="424"/>
      <c r="I92" s="424"/>
      <c r="J92" s="356"/>
      <c r="K92" s="356"/>
      <c r="L92" s="356"/>
      <c r="M92" s="356"/>
      <c r="N92" s="356"/>
      <c r="O92" s="356"/>
      <c r="P92" s="356"/>
      <c r="Q92" s="356"/>
      <c r="R92" s="425"/>
      <c r="S92" s="425"/>
      <c r="T92" s="356"/>
      <c r="U92" s="356"/>
      <c r="V92" s="356"/>
      <c r="W92" s="356"/>
      <c r="X92" s="426"/>
      <c r="Y92" s="426"/>
      <c r="Z92" s="356"/>
      <c r="AA92" s="356"/>
      <c r="AB92" s="356"/>
      <c r="AC92" s="356"/>
      <c r="AD92" s="425"/>
      <c r="AE92" s="356"/>
      <c r="AF92" s="356"/>
      <c r="AG92" s="356"/>
      <c r="AH92" s="356"/>
      <c r="AI92" s="426"/>
      <c r="AJ92" s="356"/>
      <c r="AK92" s="356"/>
      <c r="AL92" s="356"/>
      <c r="AM92" s="356"/>
      <c r="AN92" s="356"/>
      <c r="AO92" s="356"/>
      <c r="AP92" s="356"/>
      <c r="AQ92" s="356"/>
      <c r="AR92" s="356"/>
      <c r="AS92" s="424"/>
      <c r="AT92" s="356"/>
      <c r="AU92" s="356"/>
      <c r="AV92" s="356"/>
      <c r="AW92" s="356"/>
      <c r="AX92" s="356"/>
      <c r="AY92" s="356"/>
      <c r="AZ92" s="356"/>
      <c r="BA92" s="356"/>
      <c r="BB92" s="356"/>
      <c r="BC92" s="356"/>
      <c r="BD92" s="356"/>
      <c r="BE92" s="356"/>
      <c r="BF92" s="356"/>
      <c r="BG92" s="356"/>
      <c r="BH92" s="356"/>
      <c r="BI92" s="356"/>
      <c r="BJ92" s="356"/>
      <c r="BK92" s="356"/>
      <c r="BL92" s="356"/>
      <c r="BM92" s="356"/>
      <c r="BN92" s="356"/>
      <c r="BO92" s="356"/>
      <c r="BP92" s="356"/>
      <c r="BQ92" s="356"/>
      <c r="BR92" s="356"/>
      <c r="BS92" s="356"/>
      <c r="BT92" s="356"/>
      <c r="BU92" s="356"/>
      <c r="BV92" s="356"/>
      <c r="BW92" s="356"/>
      <c r="BX92" s="356"/>
      <c r="CI92" s="356"/>
      <c r="CJ92" s="356"/>
      <c r="CK92" s="356"/>
      <c r="CP92" s="356"/>
      <c r="CQ92" s="356"/>
      <c r="CR92" s="356"/>
      <c r="CS92" s="356"/>
      <c r="CT92" s="356"/>
      <c r="CU92" s="356"/>
      <c r="CV92" s="356"/>
      <c r="CW92" s="356"/>
      <c r="CX92" s="356"/>
      <c r="CY92" s="356"/>
      <c r="CZ92" s="356"/>
      <c r="DA92" s="356"/>
      <c r="DB92" s="356"/>
      <c r="DC92" s="356"/>
      <c r="DD92" s="356"/>
      <c r="DE92" s="356"/>
      <c r="DF92" s="356"/>
      <c r="DG92" s="356"/>
      <c r="DH92" s="356"/>
      <c r="DI92" s="356"/>
      <c r="DJ92" s="356"/>
      <c r="DK92" s="356"/>
      <c r="DL92" s="356"/>
      <c r="DM92" s="356"/>
      <c r="DN92" s="356"/>
      <c r="DO92" s="356"/>
      <c r="DP92" s="356"/>
      <c r="DQ92" s="356"/>
    </row>
    <row r="93" spans="1:121" hidden="1" outlineLevel="1">
      <c r="A93" s="41"/>
      <c r="B93" s="424"/>
      <c r="C93" s="356"/>
      <c r="D93" s="356"/>
      <c r="E93" s="356"/>
      <c r="F93" s="356"/>
      <c r="G93" s="356"/>
      <c r="H93" s="424"/>
      <c r="I93" s="424"/>
      <c r="J93" s="356"/>
      <c r="K93" s="356"/>
      <c r="L93" s="356"/>
      <c r="M93" s="356"/>
      <c r="N93" s="356"/>
      <c r="O93" s="356"/>
      <c r="P93" s="356"/>
      <c r="Q93" s="356"/>
      <c r="R93" s="425"/>
      <c r="S93" s="425"/>
      <c r="T93" s="356"/>
      <c r="U93" s="356"/>
      <c r="V93" s="356"/>
      <c r="W93" s="356"/>
      <c r="X93" s="426"/>
      <c r="Y93" s="426"/>
      <c r="Z93" s="356"/>
      <c r="AA93" s="356"/>
      <c r="AB93" s="356"/>
      <c r="AC93" s="356"/>
      <c r="AD93" s="425"/>
      <c r="AE93" s="356"/>
      <c r="AF93" s="356"/>
      <c r="AG93" s="356"/>
      <c r="AH93" s="356"/>
      <c r="AI93" s="426"/>
      <c r="AJ93" s="356"/>
      <c r="AK93" s="356"/>
      <c r="AL93" s="356"/>
      <c r="AM93" s="356"/>
      <c r="AN93" s="356"/>
      <c r="AO93" s="356"/>
      <c r="AP93" s="356"/>
      <c r="AQ93" s="356"/>
      <c r="AR93" s="356"/>
      <c r="AS93" s="424"/>
      <c r="AT93" s="356"/>
      <c r="AU93" s="356"/>
      <c r="AV93" s="356"/>
      <c r="AW93" s="356"/>
      <c r="AX93" s="356"/>
      <c r="AY93" s="356"/>
      <c r="AZ93" s="356"/>
      <c r="BA93" s="356"/>
      <c r="BB93" s="356"/>
      <c r="BC93" s="356"/>
      <c r="BD93" s="356"/>
      <c r="BE93" s="356"/>
      <c r="BF93" s="356"/>
      <c r="BG93" s="356"/>
      <c r="BH93" s="356"/>
      <c r="BI93" s="356"/>
      <c r="BJ93" s="356"/>
      <c r="BK93" s="356"/>
      <c r="BL93" s="356"/>
      <c r="BM93" s="356"/>
      <c r="BN93" s="356"/>
      <c r="BO93" s="356"/>
      <c r="BP93" s="356"/>
      <c r="BQ93" s="356"/>
      <c r="BR93" s="356"/>
      <c r="BS93" s="356"/>
      <c r="BT93" s="356"/>
      <c r="BU93" s="356"/>
      <c r="BV93" s="356"/>
      <c r="BW93" s="356"/>
      <c r="BX93" s="356"/>
      <c r="CI93" s="356"/>
      <c r="CJ93" s="356"/>
      <c r="CK93" s="356"/>
      <c r="CP93" s="356"/>
      <c r="CQ93" s="356"/>
      <c r="CR93" s="356"/>
      <c r="CS93" s="356"/>
      <c r="CT93" s="356"/>
      <c r="CU93" s="356"/>
      <c r="CV93" s="356"/>
      <c r="CW93" s="356"/>
      <c r="CX93" s="356"/>
      <c r="CY93" s="356"/>
      <c r="CZ93" s="356"/>
      <c r="DA93" s="356"/>
      <c r="DB93" s="356"/>
      <c r="DC93" s="356"/>
      <c r="DD93" s="356"/>
      <c r="DE93" s="356"/>
      <c r="DF93" s="356"/>
      <c r="DG93" s="356"/>
      <c r="DH93" s="356"/>
      <c r="DI93" s="356"/>
      <c r="DJ93" s="356"/>
      <c r="DK93" s="356"/>
      <c r="DL93" s="356"/>
      <c r="DM93" s="356"/>
      <c r="DN93" s="356"/>
      <c r="DO93" s="356"/>
      <c r="DP93" s="356"/>
      <c r="DQ93" s="356"/>
    </row>
    <row r="94" spans="1:121" hidden="1" outlineLevel="1">
      <c r="A94" s="41"/>
      <c r="B94" s="424"/>
      <c r="C94" s="356"/>
      <c r="D94" s="356"/>
      <c r="E94" s="356"/>
      <c r="F94" s="356"/>
      <c r="G94" s="356"/>
      <c r="H94" s="424"/>
      <c r="I94" s="424"/>
      <c r="J94" s="356"/>
      <c r="K94" s="356"/>
      <c r="L94" s="356"/>
      <c r="M94" s="356"/>
      <c r="N94" s="356"/>
      <c r="O94" s="356"/>
      <c r="P94" s="356"/>
      <c r="Q94" s="356"/>
      <c r="R94" s="425"/>
      <c r="S94" s="425"/>
      <c r="T94" s="356"/>
      <c r="U94" s="356"/>
      <c r="V94" s="356"/>
      <c r="W94" s="356"/>
      <c r="X94" s="426"/>
      <c r="Y94" s="426"/>
      <c r="Z94" s="356"/>
      <c r="AA94" s="356"/>
      <c r="AB94" s="356"/>
      <c r="AC94" s="356"/>
      <c r="AD94" s="425"/>
      <c r="AE94" s="356"/>
      <c r="AF94" s="356"/>
      <c r="AG94" s="356"/>
      <c r="AH94" s="356"/>
      <c r="AI94" s="426"/>
      <c r="AJ94" s="356"/>
      <c r="AK94" s="356"/>
      <c r="AL94" s="356"/>
      <c r="AM94" s="356"/>
      <c r="AN94" s="356"/>
      <c r="AO94" s="356"/>
      <c r="AP94" s="356"/>
      <c r="AQ94" s="356"/>
      <c r="AR94" s="356"/>
      <c r="AS94" s="424"/>
      <c r="AT94" s="356"/>
      <c r="AU94" s="356"/>
      <c r="AV94" s="356"/>
      <c r="AW94" s="356"/>
      <c r="AX94" s="356"/>
      <c r="AY94" s="356"/>
      <c r="AZ94" s="356"/>
      <c r="BA94" s="356"/>
      <c r="BB94" s="356"/>
      <c r="BC94" s="356"/>
      <c r="BD94" s="356"/>
      <c r="BE94" s="356"/>
      <c r="BF94" s="356"/>
      <c r="BG94" s="356"/>
      <c r="BH94" s="356"/>
      <c r="BI94" s="356"/>
      <c r="BJ94" s="356"/>
      <c r="BK94" s="356"/>
      <c r="BL94" s="356"/>
      <c r="BM94" s="356"/>
      <c r="BN94" s="356"/>
      <c r="BO94" s="356"/>
      <c r="BP94" s="356"/>
      <c r="BQ94" s="356"/>
      <c r="BR94" s="356"/>
      <c r="BS94" s="356"/>
      <c r="BT94" s="356"/>
      <c r="BU94" s="356"/>
      <c r="BV94" s="356"/>
      <c r="BW94" s="356"/>
      <c r="BX94" s="356"/>
      <c r="CI94" s="356"/>
      <c r="CJ94" s="356"/>
      <c r="CK94" s="356"/>
      <c r="CP94" s="356"/>
      <c r="CQ94" s="356"/>
      <c r="CR94" s="356"/>
      <c r="CS94" s="356"/>
      <c r="CT94" s="356"/>
      <c r="CU94" s="356"/>
      <c r="CV94" s="356"/>
      <c r="CW94" s="356"/>
      <c r="CX94" s="356"/>
      <c r="CY94" s="356"/>
      <c r="CZ94" s="356"/>
      <c r="DA94" s="356"/>
      <c r="DB94" s="356"/>
      <c r="DC94" s="356"/>
      <c r="DD94" s="356"/>
      <c r="DE94" s="356"/>
      <c r="DF94" s="356"/>
      <c r="DG94" s="356"/>
      <c r="DH94" s="356"/>
      <c r="DI94" s="356"/>
      <c r="DJ94" s="356"/>
      <c r="DK94" s="356"/>
      <c r="DL94" s="356"/>
      <c r="DM94" s="356"/>
      <c r="DN94" s="356"/>
      <c r="DO94" s="356"/>
      <c r="DP94" s="356"/>
      <c r="DQ94" s="356"/>
    </row>
    <row r="95" spans="1:121" hidden="1" outlineLevel="1">
      <c r="A95" s="41"/>
      <c r="B95" s="424"/>
      <c r="C95" s="356"/>
      <c r="D95" s="356"/>
      <c r="E95" s="356"/>
      <c r="F95" s="356"/>
      <c r="G95" s="356"/>
      <c r="H95" s="424"/>
      <c r="I95" s="424"/>
      <c r="J95" s="356"/>
      <c r="K95" s="356"/>
      <c r="L95" s="356"/>
      <c r="M95" s="356"/>
      <c r="N95" s="356"/>
      <c r="O95" s="356"/>
      <c r="P95" s="356"/>
      <c r="Q95" s="356"/>
      <c r="R95" s="425"/>
      <c r="S95" s="425"/>
      <c r="T95" s="356"/>
      <c r="U95" s="356"/>
      <c r="V95" s="356"/>
      <c r="W95" s="356"/>
      <c r="X95" s="426"/>
      <c r="Y95" s="426"/>
      <c r="Z95" s="356"/>
      <c r="AA95" s="356"/>
      <c r="AB95" s="356"/>
      <c r="AC95" s="356"/>
      <c r="AD95" s="425"/>
      <c r="AE95" s="356"/>
      <c r="AF95" s="356"/>
      <c r="AG95" s="356"/>
      <c r="AH95" s="356"/>
      <c r="AI95" s="426"/>
      <c r="AJ95" s="356"/>
      <c r="AK95" s="356"/>
      <c r="AL95" s="356"/>
      <c r="AM95" s="356"/>
      <c r="AN95" s="356"/>
      <c r="AO95" s="356"/>
      <c r="AP95" s="356"/>
      <c r="AQ95" s="356"/>
      <c r="AR95" s="356"/>
      <c r="AS95" s="424"/>
      <c r="AT95" s="356"/>
      <c r="AU95" s="356"/>
      <c r="AV95" s="356"/>
      <c r="AW95" s="356"/>
      <c r="AX95" s="356"/>
      <c r="AY95" s="356"/>
      <c r="AZ95" s="356"/>
      <c r="BA95" s="356"/>
      <c r="BB95" s="356"/>
      <c r="BC95" s="356"/>
      <c r="BD95" s="356"/>
      <c r="BE95" s="356"/>
      <c r="BF95" s="356"/>
      <c r="BG95" s="356"/>
      <c r="BH95" s="356"/>
      <c r="BI95" s="356"/>
      <c r="BJ95" s="356"/>
      <c r="BK95" s="356"/>
      <c r="BL95" s="356"/>
      <c r="BM95" s="356"/>
      <c r="BN95" s="356"/>
      <c r="BO95" s="356"/>
      <c r="BP95" s="356"/>
      <c r="BQ95" s="356"/>
      <c r="BR95" s="356"/>
      <c r="BS95" s="356"/>
      <c r="BT95" s="356"/>
      <c r="BU95" s="356"/>
      <c r="BV95" s="356"/>
      <c r="BW95" s="356"/>
      <c r="BX95" s="356"/>
      <c r="CI95" s="356"/>
      <c r="CJ95" s="356"/>
      <c r="CK95" s="356"/>
      <c r="CP95" s="356"/>
      <c r="CQ95" s="356"/>
      <c r="CR95" s="356"/>
      <c r="CS95" s="356"/>
      <c r="CT95" s="356"/>
      <c r="CU95" s="356"/>
      <c r="CV95" s="356"/>
      <c r="CW95" s="356"/>
      <c r="CX95" s="356"/>
      <c r="CY95" s="356"/>
      <c r="CZ95" s="356"/>
      <c r="DA95" s="356"/>
      <c r="DB95" s="356"/>
      <c r="DC95" s="356"/>
      <c r="DD95" s="356"/>
      <c r="DE95" s="356"/>
      <c r="DF95" s="356"/>
      <c r="DG95" s="356"/>
      <c r="DH95" s="356"/>
      <c r="DI95" s="356"/>
      <c r="DJ95" s="356"/>
      <c r="DK95" s="356"/>
      <c r="DL95" s="356"/>
      <c r="DM95" s="356"/>
      <c r="DN95" s="356"/>
      <c r="DO95" s="356"/>
      <c r="DP95" s="356"/>
      <c r="DQ95" s="356"/>
    </row>
    <row r="96" spans="1:121" hidden="1" outlineLevel="1">
      <c r="A96" s="41"/>
      <c r="B96" s="424"/>
      <c r="C96" s="356"/>
      <c r="D96" s="356"/>
      <c r="E96" s="356"/>
      <c r="F96" s="356"/>
      <c r="G96" s="356"/>
      <c r="H96" s="424"/>
      <c r="I96" s="424"/>
      <c r="J96" s="356"/>
      <c r="K96" s="356"/>
      <c r="L96" s="356"/>
      <c r="M96" s="356"/>
      <c r="N96" s="356"/>
      <c r="O96" s="356"/>
      <c r="P96" s="356"/>
      <c r="Q96" s="356"/>
      <c r="R96" s="425"/>
      <c r="S96" s="425"/>
      <c r="T96" s="356"/>
      <c r="U96" s="356"/>
      <c r="V96" s="356"/>
      <c r="W96" s="356"/>
      <c r="X96" s="426"/>
      <c r="Y96" s="426"/>
      <c r="Z96" s="356"/>
      <c r="AA96" s="356"/>
      <c r="AB96" s="356"/>
      <c r="AC96" s="356"/>
      <c r="AD96" s="425"/>
      <c r="AE96" s="356"/>
      <c r="AF96" s="356"/>
      <c r="AG96" s="356"/>
      <c r="AH96" s="356"/>
      <c r="AI96" s="426"/>
      <c r="AJ96" s="356"/>
      <c r="AK96" s="356"/>
      <c r="AL96" s="356"/>
      <c r="AM96" s="356"/>
      <c r="AN96" s="356"/>
      <c r="AO96" s="356"/>
      <c r="AP96" s="356"/>
      <c r="AQ96" s="356"/>
      <c r="AR96" s="356"/>
      <c r="AS96" s="424"/>
      <c r="AT96" s="356"/>
      <c r="AU96" s="356"/>
      <c r="AV96" s="356"/>
      <c r="AW96" s="356"/>
      <c r="AX96" s="356"/>
      <c r="AY96" s="356"/>
      <c r="AZ96" s="356"/>
      <c r="BA96" s="356"/>
      <c r="BB96" s="356"/>
      <c r="BC96" s="356"/>
      <c r="BD96" s="356"/>
      <c r="BE96" s="356"/>
      <c r="BF96" s="356"/>
      <c r="BG96" s="356"/>
      <c r="BH96" s="356"/>
      <c r="BI96" s="356"/>
      <c r="BJ96" s="356"/>
      <c r="BK96" s="356"/>
      <c r="BL96" s="356"/>
      <c r="BM96" s="356"/>
      <c r="BN96" s="356"/>
      <c r="BO96" s="356"/>
      <c r="BP96" s="356"/>
      <c r="BQ96" s="356"/>
      <c r="BR96" s="356"/>
      <c r="BS96" s="356"/>
      <c r="BT96" s="356"/>
      <c r="BU96" s="356"/>
      <c r="BV96" s="356"/>
      <c r="BW96" s="356"/>
      <c r="BX96" s="356"/>
      <c r="CI96" s="356"/>
      <c r="CJ96" s="356"/>
      <c r="CK96" s="356"/>
      <c r="CP96" s="356"/>
      <c r="CQ96" s="356"/>
      <c r="CR96" s="356"/>
      <c r="CS96" s="356"/>
      <c r="CT96" s="356"/>
      <c r="CU96" s="356"/>
      <c r="CV96" s="356"/>
      <c r="CW96" s="356"/>
      <c r="CX96" s="356"/>
      <c r="CY96" s="356"/>
      <c r="CZ96" s="356"/>
      <c r="DA96" s="356"/>
      <c r="DB96" s="356"/>
      <c r="DC96" s="356"/>
      <c r="DD96" s="356"/>
      <c r="DE96" s="356"/>
      <c r="DF96" s="356"/>
      <c r="DG96" s="356"/>
      <c r="DH96" s="356"/>
      <c r="DI96" s="356"/>
      <c r="DJ96" s="356"/>
      <c r="DK96" s="356"/>
      <c r="DL96" s="356"/>
      <c r="DM96" s="356"/>
      <c r="DN96" s="356"/>
      <c r="DO96" s="356"/>
      <c r="DP96" s="356"/>
      <c r="DQ96" s="356"/>
    </row>
    <row r="97" spans="1:121" hidden="1" outlineLevel="1">
      <c r="A97" s="41"/>
      <c r="B97" s="424"/>
      <c r="C97" s="356"/>
      <c r="D97" s="356"/>
      <c r="E97" s="356"/>
      <c r="F97" s="356"/>
      <c r="G97" s="356"/>
      <c r="H97" s="424"/>
      <c r="I97" s="424"/>
      <c r="J97" s="356"/>
      <c r="K97" s="356"/>
      <c r="L97" s="356"/>
      <c r="M97" s="356"/>
      <c r="N97" s="356"/>
      <c r="O97" s="356"/>
      <c r="P97" s="356"/>
      <c r="Q97" s="356"/>
      <c r="R97" s="425"/>
      <c r="S97" s="425"/>
      <c r="T97" s="356"/>
      <c r="U97" s="356"/>
      <c r="V97" s="356"/>
      <c r="W97" s="356"/>
      <c r="X97" s="426"/>
      <c r="Y97" s="426"/>
      <c r="Z97" s="356"/>
      <c r="AA97" s="356"/>
      <c r="AB97" s="356"/>
      <c r="AC97" s="356"/>
      <c r="AD97" s="425"/>
      <c r="AE97" s="356"/>
      <c r="AF97" s="356"/>
      <c r="AG97" s="356"/>
      <c r="AH97" s="356"/>
      <c r="AI97" s="426"/>
      <c r="AJ97" s="356"/>
      <c r="AK97" s="356"/>
      <c r="AL97" s="356"/>
      <c r="AM97" s="356"/>
      <c r="AN97" s="356"/>
      <c r="AO97" s="356"/>
      <c r="AP97" s="356"/>
      <c r="AQ97" s="356"/>
      <c r="AR97" s="356"/>
      <c r="AS97" s="424"/>
      <c r="AT97" s="356"/>
      <c r="AU97" s="356"/>
      <c r="AV97" s="356"/>
      <c r="AW97" s="356"/>
      <c r="AX97" s="356"/>
      <c r="AY97" s="356"/>
      <c r="AZ97" s="356"/>
      <c r="BA97" s="356"/>
      <c r="BB97" s="356"/>
      <c r="BC97" s="356"/>
      <c r="BD97" s="356"/>
      <c r="BE97" s="356"/>
      <c r="BF97" s="356"/>
      <c r="BG97" s="356"/>
      <c r="BH97" s="356"/>
      <c r="BI97" s="356"/>
      <c r="BJ97" s="356"/>
      <c r="BK97" s="356"/>
      <c r="BL97" s="356"/>
      <c r="BM97" s="356"/>
      <c r="BN97" s="356"/>
      <c r="BO97" s="356"/>
      <c r="BP97" s="356"/>
      <c r="BQ97" s="356"/>
      <c r="BR97" s="356"/>
      <c r="BS97" s="356"/>
      <c r="BT97" s="356"/>
      <c r="BU97" s="356"/>
      <c r="BV97" s="356"/>
      <c r="BW97" s="356"/>
      <c r="BX97" s="356"/>
      <c r="CI97" s="356"/>
      <c r="CJ97" s="356"/>
      <c r="CK97" s="356"/>
      <c r="CP97" s="356"/>
      <c r="CQ97" s="356"/>
      <c r="CR97" s="356"/>
      <c r="CS97" s="356"/>
      <c r="CT97" s="356"/>
      <c r="CU97" s="356"/>
      <c r="CV97" s="356"/>
      <c r="CW97" s="356"/>
      <c r="CX97" s="356"/>
      <c r="CY97" s="356"/>
      <c r="CZ97" s="356"/>
      <c r="DA97" s="356"/>
      <c r="DB97" s="356"/>
      <c r="DC97" s="356"/>
      <c r="DD97" s="356"/>
      <c r="DE97" s="356"/>
      <c r="DF97" s="356"/>
      <c r="DG97" s="356"/>
      <c r="DH97" s="356"/>
      <c r="DI97" s="356"/>
      <c r="DJ97" s="356"/>
      <c r="DK97" s="356"/>
      <c r="DL97" s="356"/>
      <c r="DM97" s="356"/>
      <c r="DN97" s="356"/>
      <c r="DO97" s="356"/>
      <c r="DP97" s="356"/>
      <c r="DQ97" s="356"/>
    </row>
    <row r="98" spans="1:121" hidden="1" outlineLevel="1">
      <c r="A98" s="41"/>
      <c r="B98" s="424"/>
      <c r="C98" s="356"/>
      <c r="D98" s="356"/>
      <c r="E98" s="356"/>
      <c r="F98" s="356"/>
      <c r="G98" s="356"/>
      <c r="H98" s="424"/>
      <c r="I98" s="424"/>
      <c r="J98" s="356"/>
      <c r="K98" s="356"/>
      <c r="L98" s="356"/>
      <c r="M98" s="356"/>
      <c r="N98" s="356"/>
      <c r="O98" s="356"/>
      <c r="P98" s="356"/>
      <c r="Q98" s="356"/>
      <c r="R98" s="425"/>
      <c r="S98" s="425"/>
      <c r="T98" s="356"/>
      <c r="U98" s="356"/>
      <c r="V98" s="356"/>
      <c r="W98" s="356"/>
      <c r="X98" s="426"/>
      <c r="Y98" s="426"/>
      <c r="Z98" s="356"/>
      <c r="AA98" s="356"/>
      <c r="AB98" s="356"/>
      <c r="AC98" s="356"/>
      <c r="AD98" s="425"/>
      <c r="AE98" s="356"/>
      <c r="AF98" s="356"/>
      <c r="AG98" s="356"/>
      <c r="AH98" s="356"/>
      <c r="AI98" s="426"/>
      <c r="AJ98" s="356"/>
      <c r="AK98" s="356"/>
      <c r="AL98" s="356"/>
      <c r="AM98" s="356"/>
      <c r="AN98" s="356"/>
      <c r="AO98" s="356"/>
      <c r="AP98" s="356"/>
      <c r="AQ98" s="356"/>
      <c r="AR98" s="356"/>
      <c r="AS98" s="424"/>
      <c r="AT98" s="356"/>
      <c r="AU98" s="356"/>
      <c r="AV98" s="356"/>
      <c r="AW98" s="356"/>
      <c r="AX98" s="356"/>
      <c r="AY98" s="356"/>
      <c r="AZ98" s="356"/>
      <c r="BA98" s="356"/>
      <c r="BB98" s="356"/>
      <c r="BC98" s="356"/>
      <c r="BD98" s="356"/>
      <c r="BE98" s="356"/>
      <c r="BF98" s="356"/>
      <c r="BG98" s="356"/>
      <c r="BH98" s="356"/>
      <c r="BI98" s="356"/>
      <c r="BJ98" s="356"/>
      <c r="BK98" s="356"/>
      <c r="BL98" s="356"/>
      <c r="BM98" s="356"/>
      <c r="BN98" s="356"/>
      <c r="BO98" s="356"/>
      <c r="BP98" s="356"/>
      <c r="BQ98" s="356"/>
      <c r="BR98" s="356"/>
      <c r="BS98" s="356"/>
      <c r="BT98" s="356"/>
      <c r="BU98" s="356"/>
      <c r="BV98" s="356"/>
      <c r="BW98" s="356"/>
      <c r="BX98" s="356"/>
      <c r="CI98" s="356"/>
      <c r="CJ98" s="356"/>
      <c r="CK98" s="356"/>
      <c r="CP98" s="356"/>
      <c r="CQ98" s="356"/>
      <c r="CR98" s="356"/>
      <c r="CS98" s="356"/>
      <c r="CT98" s="356"/>
      <c r="CU98" s="356"/>
      <c r="CV98" s="356"/>
      <c r="CW98" s="356"/>
      <c r="CX98" s="356"/>
      <c r="CY98" s="356"/>
      <c r="CZ98" s="356"/>
      <c r="DA98" s="356"/>
      <c r="DB98" s="356"/>
      <c r="DC98" s="356"/>
      <c r="DD98" s="356"/>
      <c r="DE98" s="356"/>
      <c r="DF98" s="356"/>
      <c r="DG98" s="356"/>
      <c r="DH98" s="356"/>
      <c r="DI98" s="356"/>
      <c r="DJ98" s="356"/>
      <c r="DK98" s="356"/>
      <c r="DL98" s="356"/>
      <c r="DM98" s="356"/>
      <c r="DN98" s="356"/>
      <c r="DO98" s="356"/>
      <c r="DP98" s="356"/>
      <c r="DQ98" s="356"/>
    </row>
    <row r="99" spans="1:121" hidden="1" outlineLevel="1">
      <c r="A99" s="41"/>
      <c r="B99" s="424"/>
      <c r="C99" s="356"/>
      <c r="D99" s="356"/>
      <c r="E99" s="356"/>
      <c r="F99" s="356"/>
      <c r="G99" s="356"/>
      <c r="H99" s="424"/>
      <c r="I99" s="424"/>
      <c r="J99" s="356"/>
      <c r="K99" s="356"/>
      <c r="L99" s="356"/>
      <c r="M99" s="356"/>
      <c r="N99" s="356"/>
      <c r="O99" s="356"/>
      <c r="P99" s="356"/>
      <c r="Q99" s="356"/>
      <c r="R99" s="425"/>
      <c r="S99" s="425"/>
      <c r="T99" s="356"/>
      <c r="U99" s="356"/>
      <c r="V99" s="356"/>
      <c r="W99" s="356"/>
      <c r="X99" s="426"/>
      <c r="Y99" s="426"/>
      <c r="Z99" s="356"/>
      <c r="AA99" s="356"/>
      <c r="AB99" s="356"/>
      <c r="AC99" s="356"/>
      <c r="AD99" s="425"/>
      <c r="AE99" s="356"/>
      <c r="AF99" s="356"/>
      <c r="AG99" s="356"/>
      <c r="AH99" s="356"/>
      <c r="AI99" s="426"/>
      <c r="AJ99" s="356"/>
      <c r="AK99" s="356"/>
      <c r="AL99" s="356"/>
      <c r="AM99" s="356"/>
      <c r="AN99" s="356"/>
      <c r="AO99" s="356"/>
      <c r="AP99" s="356"/>
      <c r="AQ99" s="356"/>
      <c r="AR99" s="356"/>
      <c r="AS99" s="424"/>
      <c r="AT99" s="356"/>
      <c r="AU99" s="356"/>
      <c r="AV99" s="356"/>
      <c r="AW99" s="356"/>
      <c r="AX99" s="356"/>
      <c r="AY99" s="356"/>
      <c r="AZ99" s="356"/>
      <c r="BA99" s="356"/>
      <c r="BB99" s="356"/>
      <c r="BC99" s="356"/>
      <c r="BD99" s="356"/>
      <c r="BE99" s="356"/>
      <c r="BF99" s="356"/>
      <c r="BG99" s="356"/>
      <c r="BH99" s="356"/>
      <c r="BI99" s="356"/>
      <c r="BJ99" s="356"/>
      <c r="BK99" s="356"/>
      <c r="BL99" s="356"/>
      <c r="BM99" s="356"/>
      <c r="BN99" s="356"/>
      <c r="BO99" s="356"/>
      <c r="BP99" s="356"/>
      <c r="BQ99" s="356"/>
      <c r="BR99" s="356"/>
      <c r="BS99" s="356"/>
      <c r="BT99" s="356"/>
      <c r="BU99" s="356"/>
      <c r="BV99" s="356"/>
      <c r="BW99" s="356"/>
      <c r="BX99" s="356"/>
      <c r="CI99" s="356"/>
      <c r="CJ99" s="356"/>
      <c r="CK99" s="356"/>
      <c r="CP99" s="356"/>
      <c r="CQ99" s="356"/>
      <c r="CR99" s="356"/>
      <c r="CS99" s="356"/>
      <c r="CT99" s="356"/>
      <c r="CU99" s="356"/>
      <c r="CV99" s="356"/>
      <c r="CW99" s="356"/>
      <c r="CX99" s="356"/>
      <c r="CY99" s="356"/>
      <c r="CZ99" s="356"/>
      <c r="DA99" s="356"/>
      <c r="DB99" s="356"/>
      <c r="DC99" s="356"/>
      <c r="DD99" s="356"/>
      <c r="DE99" s="356"/>
      <c r="DF99" s="356"/>
      <c r="DG99" s="356"/>
      <c r="DH99" s="356"/>
      <c r="DI99" s="356"/>
      <c r="DJ99" s="356"/>
      <c r="DK99" s="356"/>
      <c r="DL99" s="356"/>
      <c r="DM99" s="356"/>
      <c r="DN99" s="356"/>
      <c r="DO99" s="356"/>
      <c r="DP99" s="356"/>
      <c r="DQ99" s="356"/>
    </row>
    <row r="100" spans="1:121" hidden="1" outlineLevel="1">
      <c r="A100" s="41"/>
      <c r="B100" s="424"/>
      <c r="C100" s="356"/>
      <c r="D100" s="356"/>
      <c r="E100" s="356"/>
      <c r="F100" s="356"/>
      <c r="G100" s="356"/>
      <c r="H100" s="424"/>
      <c r="I100" s="424"/>
      <c r="J100" s="356"/>
      <c r="K100" s="356"/>
      <c r="L100" s="356"/>
      <c r="M100" s="356"/>
      <c r="N100" s="356"/>
      <c r="O100" s="356"/>
      <c r="P100" s="356"/>
      <c r="Q100" s="356"/>
      <c r="R100" s="425"/>
      <c r="S100" s="425"/>
      <c r="T100" s="356"/>
      <c r="U100" s="356"/>
      <c r="V100" s="356"/>
      <c r="W100" s="356"/>
      <c r="X100" s="426"/>
      <c r="Y100" s="426"/>
      <c r="Z100" s="356"/>
      <c r="AA100" s="356"/>
      <c r="AB100" s="356"/>
      <c r="AC100" s="356"/>
      <c r="AD100" s="425"/>
      <c r="AE100" s="356"/>
      <c r="AF100" s="356"/>
      <c r="AG100" s="356"/>
      <c r="AH100" s="356"/>
      <c r="AI100" s="426"/>
      <c r="AJ100" s="356"/>
      <c r="AK100" s="356"/>
      <c r="AL100" s="356"/>
      <c r="AM100" s="356"/>
      <c r="AN100" s="356"/>
      <c r="AO100" s="356"/>
      <c r="AP100" s="356"/>
      <c r="AQ100" s="356"/>
      <c r="AR100" s="356"/>
      <c r="AS100" s="424"/>
      <c r="AT100" s="356"/>
      <c r="AU100" s="356"/>
      <c r="AV100" s="356"/>
      <c r="AW100" s="356"/>
      <c r="AX100" s="356"/>
      <c r="AY100" s="356"/>
      <c r="AZ100" s="356"/>
      <c r="BA100" s="356"/>
      <c r="BB100" s="356"/>
      <c r="BC100" s="356"/>
      <c r="BD100" s="356"/>
      <c r="BE100" s="356"/>
      <c r="BF100" s="356"/>
      <c r="BG100" s="356"/>
      <c r="BH100" s="356"/>
      <c r="BI100" s="356"/>
      <c r="BJ100" s="356"/>
      <c r="BK100" s="356"/>
      <c r="BL100" s="356"/>
      <c r="BM100" s="356"/>
      <c r="BN100" s="356"/>
      <c r="BO100" s="356"/>
      <c r="BP100" s="356"/>
      <c r="BQ100" s="356"/>
      <c r="BR100" s="356"/>
      <c r="BS100" s="356"/>
      <c r="BT100" s="356"/>
      <c r="BU100" s="356"/>
      <c r="BV100" s="356"/>
      <c r="BW100" s="356"/>
      <c r="BX100" s="356"/>
      <c r="CI100" s="356"/>
      <c r="CJ100" s="356"/>
      <c r="CK100" s="356"/>
      <c r="CP100" s="356"/>
      <c r="CQ100" s="356"/>
      <c r="CR100" s="356"/>
      <c r="CS100" s="356"/>
      <c r="CT100" s="356"/>
      <c r="CU100" s="356"/>
      <c r="CV100" s="356"/>
      <c r="CW100" s="356"/>
      <c r="CX100" s="356"/>
      <c r="CY100" s="356"/>
      <c r="CZ100" s="356"/>
      <c r="DA100" s="356"/>
      <c r="DB100" s="356"/>
      <c r="DC100" s="356"/>
      <c r="DD100" s="356"/>
      <c r="DE100" s="356"/>
      <c r="DF100" s="356"/>
      <c r="DG100" s="356"/>
      <c r="DH100" s="356"/>
      <c r="DI100" s="356"/>
      <c r="DJ100" s="356"/>
      <c r="DK100" s="356"/>
      <c r="DL100" s="356"/>
      <c r="DM100" s="356"/>
      <c r="DN100" s="356"/>
      <c r="DO100" s="356"/>
      <c r="DP100" s="356"/>
      <c r="DQ100" s="356"/>
    </row>
    <row r="101" spans="1:121" hidden="1" outlineLevel="1">
      <c r="A101" s="41"/>
      <c r="B101" s="424"/>
      <c r="C101" s="356"/>
      <c r="D101" s="356"/>
      <c r="E101" s="356"/>
      <c r="F101" s="356"/>
      <c r="G101" s="356"/>
      <c r="H101" s="424"/>
      <c r="I101" s="424"/>
      <c r="J101" s="356"/>
      <c r="K101" s="356"/>
      <c r="L101" s="356"/>
      <c r="M101" s="356"/>
      <c r="N101" s="356"/>
      <c r="O101" s="356"/>
      <c r="P101" s="356"/>
      <c r="Q101" s="356"/>
      <c r="R101" s="425"/>
      <c r="S101" s="425"/>
      <c r="T101" s="356"/>
      <c r="U101" s="356"/>
      <c r="V101" s="356"/>
      <c r="W101" s="356"/>
      <c r="X101" s="426"/>
      <c r="Y101" s="426"/>
      <c r="Z101" s="356"/>
      <c r="AA101" s="356"/>
      <c r="AB101" s="356"/>
      <c r="AC101" s="356"/>
      <c r="AD101" s="425"/>
      <c r="AE101" s="356"/>
      <c r="AF101" s="356"/>
      <c r="AG101" s="356"/>
      <c r="AH101" s="356"/>
      <c r="AI101" s="426"/>
      <c r="AJ101" s="356"/>
      <c r="AK101" s="356"/>
      <c r="AL101" s="356"/>
      <c r="AM101" s="356"/>
      <c r="AN101" s="356"/>
      <c r="AO101" s="356"/>
      <c r="AP101" s="356"/>
      <c r="AQ101" s="356"/>
      <c r="AR101" s="356"/>
      <c r="AS101" s="424"/>
      <c r="AT101" s="356"/>
      <c r="AU101" s="356"/>
      <c r="AV101" s="356"/>
      <c r="AW101" s="356"/>
      <c r="AX101" s="356"/>
      <c r="AY101" s="356"/>
      <c r="AZ101" s="356"/>
      <c r="BA101" s="356"/>
      <c r="BB101" s="356"/>
      <c r="BC101" s="356"/>
      <c r="BD101" s="356"/>
      <c r="BE101" s="356"/>
      <c r="BF101" s="356"/>
      <c r="BG101" s="356"/>
      <c r="BH101" s="356"/>
      <c r="BI101" s="356"/>
      <c r="BJ101" s="356"/>
      <c r="BK101" s="356"/>
      <c r="BL101" s="356"/>
      <c r="BM101" s="356"/>
      <c r="BN101" s="356"/>
      <c r="BO101" s="356"/>
      <c r="BP101" s="356"/>
      <c r="BQ101" s="356"/>
      <c r="BR101" s="356"/>
      <c r="BS101" s="356"/>
      <c r="BT101" s="356"/>
      <c r="BU101" s="356"/>
      <c r="BV101" s="356"/>
      <c r="BW101" s="356"/>
      <c r="BX101" s="356"/>
      <c r="CI101" s="356"/>
      <c r="CJ101" s="356"/>
      <c r="CK101" s="356"/>
      <c r="CP101" s="356"/>
      <c r="CQ101" s="356"/>
      <c r="CR101" s="356"/>
      <c r="CS101" s="356"/>
      <c r="CT101" s="356"/>
      <c r="CU101" s="356"/>
      <c r="CV101" s="356"/>
      <c r="CW101" s="356"/>
      <c r="CX101" s="356"/>
      <c r="CY101" s="356"/>
      <c r="CZ101" s="356"/>
      <c r="DA101" s="356"/>
      <c r="DB101" s="356"/>
      <c r="DC101" s="356"/>
      <c r="DD101" s="356"/>
      <c r="DE101" s="356"/>
      <c r="DF101" s="356"/>
      <c r="DG101" s="356"/>
      <c r="DH101" s="356"/>
      <c r="DI101" s="356"/>
      <c r="DJ101" s="356"/>
      <c r="DK101" s="356"/>
      <c r="DL101" s="356"/>
      <c r="DM101" s="356"/>
      <c r="DN101" s="356"/>
      <c r="DO101" s="356"/>
      <c r="DP101" s="356"/>
      <c r="DQ101" s="356"/>
    </row>
    <row r="102" spans="1:121" hidden="1" outlineLevel="1">
      <c r="A102" s="41"/>
      <c r="B102" s="424"/>
      <c r="C102" s="356"/>
      <c r="D102" s="356"/>
      <c r="E102" s="356"/>
      <c r="F102" s="356"/>
      <c r="G102" s="356"/>
      <c r="H102" s="424"/>
      <c r="I102" s="424"/>
      <c r="J102" s="356"/>
      <c r="K102" s="356"/>
      <c r="L102" s="356"/>
      <c r="M102" s="356"/>
      <c r="N102" s="356"/>
      <c r="O102" s="356"/>
      <c r="P102" s="356"/>
      <c r="Q102" s="356"/>
      <c r="R102" s="425"/>
      <c r="S102" s="425"/>
      <c r="T102" s="356"/>
      <c r="U102" s="356"/>
      <c r="V102" s="356"/>
      <c r="W102" s="356"/>
      <c r="X102" s="426"/>
      <c r="Y102" s="426"/>
      <c r="Z102" s="356"/>
      <c r="AA102" s="356"/>
      <c r="AB102" s="356"/>
      <c r="AC102" s="356"/>
      <c r="AD102" s="425"/>
      <c r="AE102" s="356"/>
      <c r="AF102" s="356"/>
      <c r="AG102" s="356"/>
      <c r="AH102" s="356"/>
      <c r="AI102" s="426"/>
      <c r="AJ102" s="356"/>
      <c r="AK102" s="356"/>
      <c r="AL102" s="356"/>
      <c r="AM102" s="356"/>
      <c r="AN102" s="356"/>
      <c r="AO102" s="356"/>
      <c r="AP102" s="356"/>
      <c r="AQ102" s="356"/>
      <c r="AR102" s="356"/>
      <c r="AS102" s="424"/>
      <c r="AT102" s="356"/>
      <c r="AU102" s="356"/>
      <c r="AV102" s="356"/>
      <c r="AW102" s="356"/>
      <c r="AX102" s="356"/>
      <c r="AY102" s="356"/>
      <c r="AZ102" s="356"/>
      <c r="BA102" s="356"/>
      <c r="BB102" s="356"/>
      <c r="BC102" s="356"/>
      <c r="BD102" s="356"/>
      <c r="BE102" s="356"/>
      <c r="BF102" s="356"/>
      <c r="BG102" s="356"/>
      <c r="BH102" s="356"/>
      <c r="BI102" s="356"/>
      <c r="BJ102" s="356"/>
      <c r="BK102" s="356"/>
      <c r="BL102" s="356"/>
      <c r="BM102" s="356"/>
      <c r="BN102" s="356"/>
      <c r="BO102" s="356"/>
      <c r="BP102" s="356"/>
      <c r="BQ102" s="356"/>
      <c r="BR102" s="356"/>
      <c r="BS102" s="356"/>
      <c r="BT102" s="356"/>
      <c r="BU102" s="356"/>
      <c r="BV102" s="356"/>
      <c r="BW102" s="356"/>
      <c r="BX102" s="356"/>
      <c r="CI102" s="356"/>
      <c r="CJ102" s="356"/>
      <c r="CK102" s="356"/>
      <c r="CP102" s="356"/>
      <c r="CQ102" s="356"/>
      <c r="CR102" s="356"/>
      <c r="CS102" s="356"/>
      <c r="CT102" s="356"/>
      <c r="CU102" s="356"/>
      <c r="CV102" s="356"/>
      <c r="CW102" s="356"/>
      <c r="CX102" s="356"/>
      <c r="CY102" s="356"/>
      <c r="CZ102" s="356"/>
      <c r="DA102" s="356"/>
      <c r="DB102" s="356"/>
      <c r="DC102" s="356"/>
      <c r="DD102" s="356"/>
      <c r="DE102" s="356"/>
      <c r="DF102" s="356"/>
      <c r="DG102" s="356"/>
      <c r="DH102" s="356"/>
      <c r="DI102" s="356"/>
      <c r="DJ102" s="356"/>
      <c r="DK102" s="356"/>
      <c r="DL102" s="356"/>
      <c r="DM102" s="356"/>
      <c r="DN102" s="356"/>
      <c r="DO102" s="356"/>
      <c r="DP102" s="356"/>
      <c r="DQ102" s="356"/>
    </row>
    <row r="103" spans="1:121" hidden="1" outlineLevel="1">
      <c r="A103" s="41"/>
      <c r="B103" s="424"/>
      <c r="C103" s="356"/>
      <c r="D103" s="356"/>
      <c r="E103" s="356"/>
      <c r="F103" s="356"/>
      <c r="G103" s="356"/>
      <c r="H103" s="424"/>
      <c r="I103" s="424"/>
      <c r="J103" s="356"/>
      <c r="K103" s="356"/>
      <c r="L103" s="356"/>
      <c r="M103" s="356"/>
      <c r="N103" s="356"/>
      <c r="O103" s="356"/>
      <c r="P103" s="356"/>
      <c r="Q103" s="356"/>
      <c r="R103" s="425"/>
      <c r="S103" s="425"/>
      <c r="T103" s="356"/>
      <c r="U103" s="356"/>
      <c r="V103" s="356"/>
      <c r="W103" s="356"/>
      <c r="X103" s="426"/>
      <c r="Y103" s="426"/>
      <c r="Z103" s="356"/>
      <c r="AA103" s="356"/>
      <c r="AB103" s="356"/>
      <c r="AC103" s="356"/>
      <c r="AD103" s="425"/>
      <c r="AE103" s="356"/>
      <c r="AF103" s="356"/>
      <c r="AG103" s="356"/>
      <c r="AH103" s="356"/>
      <c r="AI103" s="426"/>
      <c r="AJ103" s="356"/>
      <c r="AK103" s="356"/>
      <c r="AL103" s="356"/>
      <c r="AM103" s="356"/>
      <c r="AN103" s="356"/>
      <c r="AO103" s="356"/>
      <c r="AP103" s="356"/>
      <c r="AQ103" s="356"/>
      <c r="AR103" s="356"/>
      <c r="AS103" s="424"/>
      <c r="AT103" s="356"/>
      <c r="AU103" s="356"/>
      <c r="AV103" s="356"/>
      <c r="AW103" s="356"/>
      <c r="AX103" s="356"/>
      <c r="AY103" s="356"/>
      <c r="AZ103" s="356"/>
      <c r="BA103" s="356"/>
      <c r="BB103" s="356"/>
      <c r="BC103" s="356"/>
      <c r="BD103" s="356"/>
      <c r="BE103" s="356"/>
      <c r="BF103" s="356"/>
      <c r="BG103" s="356"/>
      <c r="BH103" s="356"/>
      <c r="BI103" s="356"/>
      <c r="BJ103" s="356"/>
      <c r="BK103" s="356"/>
      <c r="BL103" s="356"/>
      <c r="BM103" s="356"/>
      <c r="BN103" s="356"/>
      <c r="BO103" s="356"/>
      <c r="BP103" s="356"/>
      <c r="BQ103" s="356"/>
      <c r="BR103" s="356"/>
      <c r="BS103" s="356"/>
      <c r="BT103" s="356"/>
      <c r="BU103" s="356"/>
      <c r="BV103" s="356"/>
      <c r="BW103" s="356"/>
      <c r="BX103" s="356"/>
      <c r="CI103" s="356"/>
      <c r="CJ103" s="356"/>
      <c r="CK103" s="356"/>
      <c r="CP103" s="356"/>
      <c r="CQ103" s="356"/>
      <c r="CR103" s="356"/>
      <c r="CS103" s="356"/>
      <c r="CT103" s="356"/>
      <c r="CU103" s="356"/>
      <c r="CV103" s="356"/>
      <c r="CW103" s="356"/>
      <c r="CX103" s="356"/>
      <c r="CY103" s="356"/>
      <c r="CZ103" s="356"/>
      <c r="DA103" s="356"/>
      <c r="DB103" s="356"/>
      <c r="DC103" s="356"/>
      <c r="DD103" s="356"/>
      <c r="DE103" s="356"/>
      <c r="DF103" s="356"/>
      <c r="DG103" s="356"/>
      <c r="DH103" s="356"/>
      <c r="DI103" s="356"/>
      <c r="DJ103" s="356"/>
      <c r="DK103" s="356"/>
      <c r="DL103" s="356"/>
      <c r="DM103" s="356"/>
      <c r="DN103" s="356"/>
      <c r="DO103" s="356"/>
      <c r="DP103" s="356"/>
      <c r="DQ103" s="356"/>
    </row>
    <row r="104" spans="1:121" hidden="1" outlineLevel="1">
      <c r="A104" s="41"/>
      <c r="B104" s="424"/>
      <c r="C104" s="356"/>
      <c r="D104" s="356"/>
      <c r="E104" s="356"/>
      <c r="F104" s="356"/>
      <c r="G104" s="356"/>
      <c r="H104" s="424"/>
      <c r="I104" s="424"/>
      <c r="J104" s="356"/>
      <c r="K104" s="356"/>
      <c r="L104" s="356"/>
      <c r="M104" s="356"/>
      <c r="N104" s="356"/>
      <c r="O104" s="356"/>
      <c r="P104" s="356"/>
      <c r="Q104" s="356"/>
      <c r="R104" s="425"/>
      <c r="S104" s="425"/>
      <c r="T104" s="356"/>
      <c r="U104" s="356"/>
      <c r="V104" s="356"/>
      <c r="W104" s="356"/>
      <c r="X104" s="426"/>
      <c r="Y104" s="426"/>
      <c r="Z104" s="356"/>
      <c r="AA104" s="356"/>
      <c r="AB104" s="356"/>
      <c r="AC104" s="356"/>
      <c r="AD104" s="425"/>
      <c r="AE104" s="356"/>
      <c r="AF104" s="356"/>
      <c r="AG104" s="356"/>
      <c r="AH104" s="356"/>
      <c r="AI104" s="426"/>
      <c r="AJ104" s="356"/>
      <c r="AK104" s="356"/>
      <c r="AL104" s="356"/>
      <c r="AM104" s="356"/>
      <c r="AN104" s="356"/>
      <c r="AO104" s="356"/>
      <c r="AP104" s="356"/>
      <c r="AQ104" s="356"/>
      <c r="AR104" s="356"/>
      <c r="AS104" s="424"/>
      <c r="AT104" s="356"/>
      <c r="AU104" s="356"/>
      <c r="AV104" s="356"/>
      <c r="AW104" s="356"/>
      <c r="AX104" s="356"/>
      <c r="AY104" s="356"/>
      <c r="AZ104" s="356"/>
      <c r="BA104" s="356"/>
      <c r="BB104" s="356"/>
      <c r="BC104" s="356"/>
      <c r="BD104" s="356"/>
      <c r="BE104" s="356"/>
      <c r="BF104" s="356"/>
      <c r="BG104" s="356"/>
      <c r="BH104" s="356"/>
      <c r="BI104" s="356"/>
      <c r="BJ104" s="356"/>
      <c r="BK104" s="356"/>
      <c r="BL104" s="356"/>
      <c r="BM104" s="356"/>
      <c r="BN104" s="356"/>
      <c r="BO104" s="356"/>
      <c r="BP104" s="356"/>
      <c r="BQ104" s="356"/>
      <c r="BR104" s="356"/>
      <c r="BS104" s="356"/>
      <c r="BT104" s="356"/>
      <c r="BU104" s="356"/>
      <c r="BV104" s="356"/>
      <c r="BW104" s="356"/>
      <c r="BX104" s="356"/>
      <c r="CI104" s="356"/>
      <c r="CJ104" s="356"/>
      <c r="CK104" s="356"/>
      <c r="CP104" s="356"/>
      <c r="CQ104" s="356"/>
      <c r="CR104" s="356"/>
      <c r="CS104" s="356"/>
      <c r="CT104" s="356"/>
      <c r="CU104" s="356"/>
      <c r="CV104" s="356"/>
      <c r="CW104" s="356"/>
      <c r="CX104" s="356"/>
      <c r="CY104" s="356"/>
      <c r="CZ104" s="356"/>
      <c r="DA104" s="356"/>
      <c r="DB104" s="356"/>
      <c r="DC104" s="356"/>
      <c r="DD104" s="356"/>
      <c r="DE104" s="356"/>
      <c r="DF104" s="356"/>
      <c r="DG104" s="356"/>
      <c r="DH104" s="356"/>
      <c r="DI104" s="356"/>
      <c r="DJ104" s="356"/>
      <c r="DK104" s="356"/>
      <c r="DL104" s="356"/>
      <c r="DM104" s="356"/>
      <c r="DN104" s="356"/>
      <c r="DO104" s="356"/>
      <c r="DP104" s="356"/>
      <c r="DQ104" s="356"/>
    </row>
    <row r="105" spans="1:121" hidden="1" outlineLevel="1">
      <c r="A105" s="41"/>
      <c r="B105" s="424"/>
      <c r="C105" s="356"/>
      <c r="D105" s="356"/>
      <c r="E105" s="356"/>
      <c r="F105" s="356"/>
      <c r="G105" s="356"/>
      <c r="H105" s="424"/>
      <c r="I105" s="424"/>
      <c r="J105" s="356"/>
      <c r="K105" s="356"/>
      <c r="L105" s="356"/>
      <c r="M105" s="356"/>
      <c r="N105" s="356"/>
      <c r="O105" s="356"/>
      <c r="P105" s="356"/>
      <c r="Q105" s="356"/>
      <c r="R105" s="425"/>
      <c r="S105" s="425"/>
      <c r="T105" s="356"/>
      <c r="U105" s="356"/>
      <c r="V105" s="356"/>
      <c r="W105" s="356"/>
      <c r="X105" s="426"/>
      <c r="Y105" s="426"/>
      <c r="Z105" s="356"/>
      <c r="AA105" s="356"/>
      <c r="AB105" s="356"/>
      <c r="AC105" s="356"/>
      <c r="AD105" s="425"/>
      <c r="AE105" s="356"/>
      <c r="AF105" s="356"/>
      <c r="AG105" s="356"/>
      <c r="AH105" s="356"/>
      <c r="AI105" s="426"/>
      <c r="AJ105" s="356"/>
      <c r="AK105" s="356"/>
      <c r="AL105" s="356"/>
      <c r="AM105" s="356"/>
      <c r="AN105" s="356"/>
      <c r="AO105" s="356"/>
      <c r="AP105" s="356"/>
      <c r="AQ105" s="356"/>
      <c r="AR105" s="356"/>
      <c r="AS105" s="424"/>
      <c r="AT105" s="356"/>
      <c r="AU105" s="356"/>
      <c r="AV105" s="356"/>
      <c r="AW105" s="356"/>
      <c r="AX105" s="356"/>
      <c r="AY105" s="356"/>
      <c r="AZ105" s="356"/>
      <c r="BA105" s="356"/>
      <c r="BB105" s="356"/>
      <c r="BC105" s="356"/>
      <c r="BD105" s="356"/>
      <c r="BE105" s="356"/>
      <c r="BF105" s="356"/>
      <c r="BG105" s="356"/>
      <c r="BH105" s="356"/>
      <c r="BI105" s="356"/>
      <c r="BJ105" s="356"/>
      <c r="BK105" s="356"/>
      <c r="BL105" s="356"/>
      <c r="BM105" s="356"/>
      <c r="BN105" s="356"/>
      <c r="BO105" s="356"/>
      <c r="BP105" s="356"/>
      <c r="BQ105" s="356"/>
      <c r="BR105" s="356"/>
      <c r="BS105" s="356"/>
      <c r="BT105" s="356"/>
      <c r="BU105" s="356"/>
      <c r="BV105" s="356"/>
      <c r="BW105" s="356"/>
      <c r="BX105" s="356"/>
      <c r="CI105" s="356"/>
      <c r="CJ105" s="356"/>
      <c r="CK105" s="356"/>
      <c r="CP105" s="356"/>
      <c r="CQ105" s="356"/>
      <c r="CR105" s="356"/>
      <c r="CS105" s="356"/>
      <c r="CT105" s="356"/>
      <c r="CU105" s="356"/>
      <c r="CV105" s="356"/>
      <c r="CW105" s="356"/>
      <c r="CX105" s="356"/>
      <c r="CY105" s="356"/>
      <c r="CZ105" s="356"/>
      <c r="DA105" s="356"/>
      <c r="DB105" s="356"/>
      <c r="DC105" s="356"/>
      <c r="DD105" s="356"/>
      <c r="DE105" s="356"/>
      <c r="DF105" s="356"/>
      <c r="DG105" s="356"/>
      <c r="DH105" s="356"/>
      <c r="DI105" s="356"/>
      <c r="DJ105" s="356"/>
      <c r="DK105" s="356"/>
      <c r="DL105" s="356"/>
      <c r="DM105" s="356"/>
      <c r="DN105" s="356"/>
      <c r="DO105" s="356"/>
      <c r="DP105" s="356"/>
      <c r="DQ105" s="356"/>
    </row>
    <row r="106" spans="1:121" hidden="1" outlineLevel="1">
      <c r="A106" s="41"/>
      <c r="B106" s="424"/>
      <c r="C106" s="356"/>
      <c r="D106" s="356"/>
      <c r="E106" s="356"/>
      <c r="F106" s="356"/>
      <c r="G106" s="356"/>
      <c r="H106" s="424"/>
      <c r="I106" s="424"/>
      <c r="J106" s="356"/>
      <c r="K106" s="356"/>
      <c r="L106" s="356"/>
      <c r="M106" s="356"/>
      <c r="N106" s="356"/>
      <c r="O106" s="356"/>
      <c r="P106" s="356"/>
      <c r="Q106" s="356"/>
      <c r="R106" s="425"/>
      <c r="S106" s="425"/>
      <c r="T106" s="356"/>
      <c r="U106" s="356"/>
      <c r="V106" s="356"/>
      <c r="W106" s="356"/>
      <c r="X106" s="426"/>
      <c r="Y106" s="426"/>
      <c r="Z106" s="356"/>
      <c r="AA106" s="356"/>
      <c r="AB106" s="356"/>
      <c r="AC106" s="356"/>
      <c r="AD106" s="425"/>
      <c r="AE106" s="356"/>
      <c r="AF106" s="356"/>
      <c r="AG106" s="356"/>
      <c r="AH106" s="356"/>
      <c r="AI106" s="426"/>
      <c r="AJ106" s="356"/>
      <c r="AK106" s="356"/>
      <c r="AL106" s="356"/>
      <c r="AM106" s="356"/>
      <c r="AN106" s="356"/>
      <c r="AO106" s="356"/>
      <c r="AP106" s="356"/>
      <c r="AQ106" s="356"/>
      <c r="AR106" s="356"/>
      <c r="AS106" s="424"/>
      <c r="AT106" s="356"/>
      <c r="AU106" s="356"/>
      <c r="AV106" s="356"/>
      <c r="AW106" s="356"/>
      <c r="AX106" s="356"/>
      <c r="AY106" s="356"/>
      <c r="AZ106" s="356"/>
      <c r="BA106" s="356"/>
      <c r="BB106" s="356"/>
      <c r="BC106" s="356"/>
      <c r="BD106" s="356"/>
      <c r="BE106" s="356"/>
      <c r="BF106" s="356"/>
      <c r="BG106" s="356"/>
      <c r="BH106" s="356"/>
      <c r="BI106" s="356"/>
      <c r="BJ106" s="356"/>
      <c r="BK106" s="356"/>
      <c r="BL106" s="356"/>
      <c r="BM106" s="356"/>
      <c r="BN106" s="356"/>
      <c r="BO106" s="356"/>
      <c r="BP106" s="356"/>
      <c r="BQ106" s="356"/>
      <c r="BR106" s="356"/>
      <c r="BS106" s="356"/>
      <c r="BT106" s="356"/>
      <c r="BU106" s="356"/>
      <c r="BV106" s="356"/>
      <c r="BW106" s="356"/>
      <c r="BX106" s="356"/>
      <c r="CI106" s="356"/>
      <c r="CJ106" s="356"/>
      <c r="CK106" s="356"/>
      <c r="CP106" s="356"/>
      <c r="CQ106" s="356"/>
      <c r="CR106" s="356"/>
      <c r="CS106" s="356"/>
      <c r="CT106" s="356"/>
      <c r="CU106" s="356"/>
      <c r="CV106" s="356"/>
      <c r="CW106" s="356"/>
      <c r="CX106" s="356"/>
      <c r="CY106" s="356"/>
      <c r="CZ106" s="356"/>
      <c r="DA106" s="356"/>
      <c r="DB106" s="356"/>
      <c r="DC106" s="356"/>
      <c r="DD106" s="356"/>
      <c r="DE106" s="356"/>
      <c r="DF106" s="356"/>
      <c r="DG106" s="356"/>
      <c r="DH106" s="356"/>
      <c r="DI106" s="356"/>
      <c r="DJ106" s="356"/>
      <c r="DK106" s="356"/>
      <c r="DL106" s="356"/>
      <c r="DM106" s="356"/>
      <c r="DN106" s="356"/>
      <c r="DO106" s="356"/>
      <c r="DP106" s="356"/>
      <c r="DQ106" s="356"/>
    </row>
    <row r="107" spans="1:121" hidden="1" outlineLevel="1">
      <c r="A107" s="41"/>
      <c r="B107" s="424"/>
      <c r="C107" s="356"/>
      <c r="D107" s="356"/>
      <c r="E107" s="356"/>
      <c r="F107" s="356"/>
      <c r="G107" s="356"/>
      <c r="H107" s="424"/>
      <c r="I107" s="424"/>
      <c r="J107" s="356"/>
      <c r="K107" s="356"/>
      <c r="L107" s="356"/>
      <c r="M107" s="356"/>
      <c r="N107" s="356"/>
      <c r="O107" s="356"/>
      <c r="P107" s="356"/>
      <c r="Q107" s="356"/>
      <c r="R107" s="425"/>
      <c r="S107" s="425"/>
      <c r="T107" s="356"/>
      <c r="U107" s="356"/>
      <c r="V107" s="356"/>
      <c r="W107" s="356"/>
      <c r="X107" s="426"/>
      <c r="Y107" s="426"/>
      <c r="Z107" s="356"/>
      <c r="AA107" s="356"/>
      <c r="AB107" s="356"/>
      <c r="AC107" s="356"/>
      <c r="AD107" s="425"/>
      <c r="AE107" s="356"/>
      <c r="AF107" s="356"/>
      <c r="AG107" s="356"/>
      <c r="AH107" s="356"/>
      <c r="AI107" s="426"/>
      <c r="AJ107" s="356"/>
      <c r="AK107" s="356"/>
      <c r="AL107" s="356"/>
      <c r="AM107" s="356"/>
      <c r="AN107" s="356"/>
      <c r="AO107" s="356"/>
      <c r="AP107" s="356"/>
      <c r="AQ107" s="356"/>
      <c r="AR107" s="356"/>
      <c r="AS107" s="424"/>
      <c r="AT107" s="356"/>
      <c r="AU107" s="356"/>
      <c r="AV107" s="356"/>
      <c r="AW107" s="356"/>
      <c r="AX107" s="356"/>
      <c r="AY107" s="356"/>
      <c r="AZ107" s="356"/>
      <c r="BA107" s="356"/>
      <c r="BB107" s="356"/>
      <c r="BC107" s="356"/>
      <c r="BD107" s="356"/>
      <c r="BE107" s="356"/>
      <c r="BF107" s="356"/>
      <c r="BG107" s="356"/>
      <c r="BH107" s="356"/>
      <c r="BI107" s="356"/>
      <c r="BJ107" s="356"/>
      <c r="BK107" s="356"/>
      <c r="BL107" s="356"/>
      <c r="BM107" s="356"/>
      <c r="BN107" s="356"/>
      <c r="BO107" s="356"/>
      <c r="BP107" s="356"/>
      <c r="BQ107" s="356"/>
      <c r="BR107" s="356"/>
      <c r="BS107" s="356"/>
      <c r="BT107" s="356"/>
      <c r="BU107" s="356"/>
      <c r="BV107" s="356"/>
      <c r="BW107" s="356"/>
      <c r="BX107" s="356"/>
      <c r="CI107" s="356"/>
      <c r="CJ107" s="356"/>
      <c r="CK107" s="356"/>
      <c r="CP107" s="356"/>
      <c r="CQ107" s="356"/>
      <c r="CR107" s="356"/>
      <c r="CS107" s="356"/>
      <c r="CT107" s="356"/>
      <c r="CU107" s="356"/>
      <c r="CV107" s="356"/>
      <c r="CW107" s="356"/>
      <c r="CX107" s="356"/>
      <c r="CY107" s="356"/>
      <c r="CZ107" s="356"/>
      <c r="DA107" s="356"/>
      <c r="DB107" s="356"/>
      <c r="DC107" s="356"/>
      <c r="DD107" s="356"/>
      <c r="DE107" s="356"/>
      <c r="DF107" s="356"/>
      <c r="DG107" s="356"/>
      <c r="DH107" s="356"/>
      <c r="DI107" s="356"/>
      <c r="DJ107" s="356"/>
      <c r="DK107" s="356"/>
      <c r="DL107" s="356"/>
      <c r="DM107" s="356"/>
      <c r="DN107" s="356"/>
      <c r="DO107" s="356"/>
      <c r="DP107" s="356"/>
      <c r="DQ107" s="356"/>
    </row>
    <row r="108" spans="1:121" hidden="1" outlineLevel="1">
      <c r="A108" s="41"/>
      <c r="B108" s="424"/>
      <c r="C108" s="356"/>
      <c r="D108" s="356"/>
      <c r="E108" s="356"/>
      <c r="F108" s="356"/>
      <c r="G108" s="356"/>
      <c r="H108" s="424"/>
      <c r="I108" s="424"/>
      <c r="J108" s="356"/>
      <c r="K108" s="356"/>
      <c r="L108" s="356"/>
      <c r="M108" s="356"/>
      <c r="N108" s="356"/>
      <c r="O108" s="356"/>
      <c r="P108" s="356"/>
      <c r="Q108" s="356"/>
      <c r="R108" s="425"/>
      <c r="S108" s="425"/>
      <c r="T108" s="356"/>
      <c r="U108" s="356"/>
      <c r="V108" s="356"/>
      <c r="W108" s="356"/>
      <c r="X108" s="426"/>
      <c r="Y108" s="426"/>
      <c r="Z108" s="356"/>
      <c r="AA108" s="356"/>
      <c r="AB108" s="356"/>
      <c r="AC108" s="356"/>
      <c r="AD108" s="425"/>
      <c r="AE108" s="356"/>
      <c r="AF108" s="356"/>
      <c r="AG108" s="356"/>
      <c r="AH108" s="356"/>
      <c r="AI108" s="426"/>
      <c r="AJ108" s="356"/>
      <c r="AK108" s="356"/>
      <c r="AL108" s="356"/>
      <c r="AM108" s="356"/>
      <c r="AN108" s="356"/>
      <c r="AO108" s="356"/>
      <c r="AP108" s="356"/>
      <c r="AQ108" s="356"/>
      <c r="AR108" s="356"/>
      <c r="AS108" s="424"/>
      <c r="AT108" s="356"/>
      <c r="AU108" s="356"/>
      <c r="AV108" s="356"/>
      <c r="AW108" s="356"/>
      <c r="AX108" s="356"/>
      <c r="AY108" s="356"/>
      <c r="AZ108" s="356"/>
      <c r="BA108" s="356"/>
      <c r="BB108" s="356"/>
      <c r="BC108" s="356"/>
      <c r="BD108" s="356"/>
      <c r="BE108" s="356"/>
      <c r="BF108" s="356"/>
      <c r="BG108" s="356"/>
      <c r="BH108" s="356"/>
      <c r="BI108" s="356"/>
      <c r="BJ108" s="356"/>
      <c r="BK108" s="356"/>
      <c r="BL108" s="356"/>
      <c r="BM108" s="356"/>
      <c r="BN108" s="356"/>
      <c r="BO108" s="356"/>
      <c r="BP108" s="356"/>
      <c r="BQ108" s="356"/>
      <c r="BR108" s="356"/>
      <c r="BS108" s="356"/>
      <c r="BT108" s="356"/>
      <c r="BU108" s="356"/>
      <c r="BV108" s="356"/>
      <c r="BW108" s="356"/>
      <c r="BX108" s="356"/>
      <c r="CI108" s="356"/>
      <c r="CJ108" s="356"/>
      <c r="CK108" s="356"/>
      <c r="CP108" s="356"/>
      <c r="CQ108" s="356"/>
      <c r="CR108" s="356"/>
      <c r="CS108" s="356"/>
      <c r="CT108" s="356"/>
      <c r="CU108" s="356"/>
      <c r="CV108" s="356"/>
      <c r="CW108" s="356"/>
      <c r="CX108" s="356"/>
      <c r="CY108" s="356"/>
      <c r="CZ108" s="356"/>
      <c r="DA108" s="356"/>
      <c r="DB108" s="356"/>
      <c r="DC108" s="356"/>
      <c r="DD108" s="356"/>
      <c r="DE108" s="356"/>
      <c r="DF108" s="356"/>
      <c r="DG108" s="356"/>
      <c r="DH108" s="356"/>
      <c r="DI108" s="356"/>
      <c r="DJ108" s="356"/>
      <c r="DK108" s="356"/>
      <c r="DL108" s="356"/>
      <c r="DM108" s="356"/>
      <c r="DN108" s="356"/>
      <c r="DO108" s="356"/>
      <c r="DP108" s="356"/>
      <c r="DQ108" s="356"/>
    </row>
    <row r="109" spans="1:121" hidden="1" outlineLevel="1">
      <c r="A109" s="124"/>
      <c r="B109" s="364"/>
      <c r="C109" s="356"/>
      <c r="D109" s="356"/>
      <c r="E109" s="362"/>
      <c r="F109" s="362"/>
      <c r="G109" s="356"/>
      <c r="H109" s="364"/>
      <c r="I109" s="364"/>
      <c r="J109" s="366"/>
      <c r="K109" s="366"/>
      <c r="L109" s="366"/>
      <c r="M109" s="366"/>
      <c r="N109" s="366"/>
      <c r="O109" s="366"/>
      <c r="P109" s="366"/>
      <c r="Q109" s="366"/>
      <c r="R109" s="369"/>
      <c r="S109" s="369"/>
      <c r="T109" s="366"/>
      <c r="U109" s="427"/>
      <c r="V109" s="427"/>
      <c r="W109" s="372"/>
      <c r="X109" s="373"/>
      <c r="Y109" s="373"/>
      <c r="Z109" s="374"/>
      <c r="AA109" s="374"/>
      <c r="AB109" s="374"/>
      <c r="AC109" s="374"/>
      <c r="AD109" s="369"/>
      <c r="AE109" s="376"/>
      <c r="AF109" s="376"/>
      <c r="AG109" s="376"/>
      <c r="AH109" s="376"/>
      <c r="AI109" s="375"/>
      <c r="AJ109" s="366"/>
      <c r="AK109" s="366"/>
      <c r="AL109" s="366"/>
      <c r="AM109" s="366"/>
      <c r="AN109" s="366"/>
      <c r="AO109" s="366"/>
      <c r="AP109" s="366"/>
      <c r="AQ109" s="366"/>
      <c r="AR109" s="366"/>
      <c r="AS109" s="366"/>
      <c r="AT109" s="366"/>
      <c r="AU109" s="366"/>
      <c r="AV109" s="366"/>
      <c r="AW109" s="366"/>
      <c r="AX109" s="366"/>
      <c r="AY109" s="366"/>
      <c r="AZ109" s="366"/>
      <c r="BA109" s="366"/>
      <c r="BB109" s="366"/>
      <c r="BC109" s="366"/>
      <c r="BD109" s="366"/>
      <c r="BE109" s="366"/>
      <c r="BF109" s="366"/>
      <c r="BG109" s="366"/>
      <c r="BH109" s="366"/>
      <c r="BI109" s="366"/>
      <c r="BJ109" s="366"/>
      <c r="BK109" s="366"/>
      <c r="BL109" s="366"/>
      <c r="BM109" s="366"/>
      <c r="BN109" s="366"/>
      <c r="BO109" s="366"/>
      <c r="BP109" s="366"/>
      <c r="BQ109" s="366"/>
      <c r="BR109" s="366"/>
      <c r="BS109" s="366"/>
      <c r="BT109" s="366"/>
      <c r="BU109" s="366"/>
      <c r="BV109" s="366"/>
      <c r="BW109" s="366"/>
      <c r="BX109" s="366"/>
      <c r="BY109" s="423"/>
      <c r="BZ109" s="423"/>
      <c r="CI109" s="356"/>
      <c r="CJ109" s="356"/>
      <c r="CK109" s="356"/>
      <c r="CP109" s="356"/>
      <c r="CQ109" s="356"/>
      <c r="CR109" s="356"/>
      <c r="CS109" s="356"/>
      <c r="CT109" s="356"/>
      <c r="CU109" s="356"/>
      <c r="CV109" s="356"/>
      <c r="CW109" s="356"/>
      <c r="CX109" s="356"/>
      <c r="CY109" s="356"/>
      <c r="CZ109" s="356"/>
      <c r="DA109" s="356"/>
      <c r="DB109" s="356"/>
      <c r="DC109" s="356"/>
      <c r="DD109" s="356"/>
      <c r="DE109" s="356"/>
      <c r="DF109" s="356"/>
      <c r="DG109" s="356"/>
      <c r="DH109" s="356"/>
      <c r="DI109" s="356"/>
      <c r="DJ109" s="356"/>
      <c r="DK109" s="356"/>
      <c r="DL109" s="356"/>
      <c r="DM109" s="356"/>
      <c r="DN109" s="356"/>
      <c r="DO109" s="356"/>
      <c r="DP109" s="356"/>
      <c r="DQ109" s="356"/>
    </row>
    <row r="110" spans="1:121" hidden="1" outlineLevel="1">
      <c r="A110" s="124"/>
      <c r="B110" s="364"/>
      <c r="C110" s="356"/>
      <c r="D110" s="356"/>
      <c r="E110" s="362"/>
      <c r="F110" s="362"/>
      <c r="G110" s="356"/>
      <c r="H110" s="364"/>
      <c r="I110" s="364"/>
      <c r="J110" s="366"/>
      <c r="K110" s="366"/>
      <c r="L110" s="366"/>
      <c r="M110" s="366"/>
      <c r="N110" s="366"/>
      <c r="O110" s="366"/>
      <c r="P110" s="366"/>
      <c r="Q110" s="366"/>
      <c r="R110" s="369"/>
      <c r="S110" s="369"/>
      <c r="T110" s="366"/>
      <c r="U110" s="427"/>
      <c r="V110" s="427"/>
      <c r="W110" s="372"/>
      <c r="X110" s="373"/>
      <c r="Y110" s="373"/>
      <c r="Z110" s="374"/>
      <c r="AA110" s="374"/>
      <c r="AB110" s="374"/>
      <c r="AC110" s="374"/>
      <c r="AD110" s="369"/>
      <c r="AE110" s="376"/>
      <c r="AF110" s="376"/>
      <c r="AG110" s="376"/>
      <c r="AH110" s="376"/>
      <c r="AI110" s="375"/>
      <c r="AJ110" s="366"/>
      <c r="AK110" s="366"/>
      <c r="AL110" s="366"/>
      <c r="AM110" s="366"/>
      <c r="AN110" s="366"/>
      <c r="AO110" s="366"/>
      <c r="AP110" s="366"/>
      <c r="AQ110" s="366"/>
      <c r="AR110" s="366"/>
      <c r="AS110" s="366"/>
      <c r="AT110" s="366"/>
      <c r="AU110" s="366"/>
      <c r="AV110" s="366"/>
      <c r="AW110" s="366"/>
      <c r="AX110" s="366"/>
      <c r="AY110" s="366"/>
      <c r="AZ110" s="366"/>
      <c r="BA110" s="366"/>
      <c r="BB110" s="366"/>
      <c r="BC110" s="366"/>
      <c r="BD110" s="366"/>
      <c r="BE110" s="366"/>
      <c r="BF110" s="366"/>
      <c r="BG110" s="366"/>
      <c r="BH110" s="366"/>
      <c r="BI110" s="366"/>
      <c r="BJ110" s="366"/>
      <c r="BK110" s="366"/>
      <c r="BL110" s="366"/>
      <c r="BM110" s="366"/>
      <c r="BN110" s="366"/>
      <c r="BO110" s="366"/>
      <c r="BP110" s="366"/>
      <c r="BQ110" s="366"/>
      <c r="BR110" s="366"/>
      <c r="BS110" s="366"/>
      <c r="BT110" s="366"/>
      <c r="BU110" s="366"/>
      <c r="BV110" s="366"/>
      <c r="BW110" s="366"/>
      <c r="BX110" s="366"/>
      <c r="BY110" s="423"/>
      <c r="BZ110" s="423"/>
      <c r="CI110" s="356"/>
      <c r="CJ110" s="356"/>
      <c r="CK110" s="356"/>
      <c r="CP110" s="356"/>
      <c r="CQ110" s="356"/>
      <c r="CR110" s="356"/>
      <c r="CS110" s="356"/>
      <c r="CT110" s="356"/>
      <c r="CU110" s="356"/>
      <c r="CV110" s="356"/>
      <c r="CW110" s="356"/>
      <c r="CX110" s="356"/>
      <c r="CY110" s="356"/>
      <c r="CZ110" s="356"/>
      <c r="DA110" s="356"/>
      <c r="DB110" s="356"/>
      <c r="DC110" s="356"/>
      <c r="DD110" s="356"/>
      <c r="DE110" s="356"/>
      <c r="DF110" s="356"/>
      <c r="DG110" s="356"/>
      <c r="DH110" s="356"/>
      <c r="DI110" s="356"/>
      <c r="DJ110" s="356"/>
      <c r="DK110" s="356"/>
      <c r="DL110" s="356"/>
      <c r="DM110" s="356"/>
      <c r="DN110" s="356"/>
      <c r="DO110" s="356"/>
      <c r="DP110" s="356"/>
      <c r="DQ110" s="356"/>
    </row>
    <row r="111" spans="1:121" hidden="1" outlineLevel="1">
      <c r="A111" s="124"/>
      <c r="B111" s="364"/>
      <c r="C111" s="356"/>
      <c r="D111" s="356"/>
      <c r="E111" s="362"/>
      <c r="F111" s="362"/>
      <c r="G111" s="356"/>
      <c r="H111" s="364"/>
      <c r="I111" s="364"/>
      <c r="J111" s="366"/>
      <c r="K111" s="366"/>
      <c r="L111" s="366"/>
      <c r="M111" s="366"/>
      <c r="N111" s="366"/>
      <c r="O111" s="366"/>
      <c r="P111" s="366"/>
      <c r="Q111" s="366"/>
      <c r="R111" s="369"/>
      <c r="S111" s="369"/>
      <c r="T111" s="366"/>
      <c r="U111" s="427"/>
      <c r="V111" s="427"/>
      <c r="W111" s="372"/>
      <c r="X111" s="373"/>
      <c r="Y111" s="373"/>
      <c r="Z111" s="374"/>
      <c r="AA111" s="374"/>
      <c r="AB111" s="374"/>
      <c r="AC111" s="374"/>
      <c r="AD111" s="369"/>
      <c r="AE111" s="376"/>
      <c r="AF111" s="376"/>
      <c r="AG111" s="376"/>
      <c r="AH111" s="376"/>
      <c r="AI111" s="375"/>
      <c r="AJ111" s="366"/>
      <c r="AK111" s="366"/>
      <c r="AL111" s="366"/>
      <c r="AM111" s="366"/>
      <c r="AN111" s="366"/>
      <c r="AO111" s="366"/>
      <c r="AP111" s="366"/>
      <c r="AQ111" s="366"/>
      <c r="AR111" s="366"/>
      <c r="AS111" s="366"/>
      <c r="AT111" s="366"/>
      <c r="AU111" s="366"/>
      <c r="AV111" s="366"/>
      <c r="AW111" s="366"/>
      <c r="AX111" s="366"/>
      <c r="AY111" s="366"/>
      <c r="AZ111" s="366"/>
      <c r="BA111" s="366"/>
      <c r="BB111" s="366"/>
      <c r="BC111" s="366"/>
      <c r="BD111" s="366"/>
      <c r="BE111" s="366"/>
      <c r="BF111" s="366"/>
      <c r="BG111" s="366"/>
      <c r="BH111" s="366"/>
      <c r="BI111" s="366"/>
      <c r="BJ111" s="366"/>
      <c r="BK111" s="366"/>
      <c r="BL111" s="366"/>
      <c r="BM111" s="366"/>
      <c r="BN111" s="366"/>
      <c r="BO111" s="366"/>
      <c r="BP111" s="366"/>
      <c r="BQ111" s="366"/>
      <c r="BR111" s="366"/>
      <c r="BS111" s="366"/>
      <c r="BT111" s="366"/>
      <c r="BU111" s="366"/>
      <c r="BV111" s="366"/>
      <c r="BW111" s="366"/>
      <c r="BX111" s="366"/>
      <c r="BY111" s="423"/>
      <c r="BZ111" s="423"/>
      <c r="CI111" s="356"/>
      <c r="CJ111" s="356"/>
      <c r="CK111" s="356"/>
      <c r="CP111" s="356"/>
      <c r="CQ111" s="356"/>
      <c r="CR111" s="356"/>
      <c r="CS111" s="356"/>
      <c r="CT111" s="356"/>
      <c r="CU111" s="356"/>
      <c r="CV111" s="356"/>
      <c r="CW111" s="356"/>
      <c r="CX111" s="356"/>
      <c r="CY111" s="356"/>
      <c r="CZ111" s="356"/>
      <c r="DA111" s="356"/>
      <c r="DB111" s="356"/>
      <c r="DC111" s="356"/>
      <c r="DD111" s="356"/>
      <c r="DE111" s="356"/>
      <c r="DF111" s="356"/>
      <c r="DG111" s="356"/>
      <c r="DH111" s="356"/>
      <c r="DI111" s="356"/>
      <c r="DJ111" s="356"/>
      <c r="DK111" s="356"/>
      <c r="DL111" s="356"/>
      <c r="DM111" s="356"/>
      <c r="DN111" s="356"/>
      <c r="DO111" s="356"/>
      <c r="DP111" s="356"/>
      <c r="DQ111" s="356"/>
    </row>
    <row r="112" spans="1:121" hidden="1" outlineLevel="1">
      <c r="A112" s="124"/>
      <c r="B112" s="364"/>
      <c r="C112" s="356"/>
      <c r="D112" s="356"/>
      <c r="E112" s="362"/>
      <c r="F112" s="362"/>
      <c r="G112" s="356"/>
      <c r="H112" s="364"/>
      <c r="I112" s="364"/>
      <c r="J112" s="366"/>
      <c r="K112" s="366"/>
      <c r="L112" s="366"/>
      <c r="M112" s="366"/>
      <c r="N112" s="366"/>
      <c r="O112" s="366"/>
      <c r="P112" s="366"/>
      <c r="Q112" s="366"/>
      <c r="R112" s="369"/>
      <c r="S112" s="369"/>
      <c r="T112" s="366"/>
      <c r="U112" s="427"/>
      <c r="V112" s="427"/>
      <c r="W112" s="372"/>
      <c r="X112" s="373"/>
      <c r="Y112" s="373"/>
      <c r="Z112" s="374"/>
      <c r="AA112" s="374"/>
      <c r="AB112" s="374"/>
      <c r="AC112" s="374"/>
      <c r="AD112" s="369"/>
      <c r="AE112" s="376"/>
      <c r="AF112" s="376"/>
      <c r="AG112" s="376"/>
      <c r="AH112" s="376"/>
      <c r="AI112" s="375"/>
      <c r="AJ112" s="366"/>
      <c r="AK112" s="366"/>
      <c r="AL112" s="366"/>
      <c r="AM112" s="366"/>
      <c r="AN112" s="366"/>
      <c r="AO112" s="366"/>
      <c r="AP112" s="366"/>
      <c r="AQ112" s="366"/>
      <c r="AR112" s="366"/>
      <c r="AS112" s="366"/>
      <c r="AT112" s="366"/>
      <c r="AU112" s="366"/>
      <c r="AV112" s="366"/>
      <c r="AW112" s="366"/>
      <c r="AX112" s="366"/>
      <c r="AY112" s="366"/>
      <c r="AZ112" s="366"/>
      <c r="BA112" s="366"/>
      <c r="BB112" s="366"/>
      <c r="BC112" s="366"/>
      <c r="BD112" s="366"/>
      <c r="BE112" s="366"/>
      <c r="BF112" s="366"/>
      <c r="BG112" s="366"/>
      <c r="BH112" s="366"/>
      <c r="BI112" s="366"/>
      <c r="BJ112" s="366"/>
      <c r="BK112" s="366"/>
      <c r="BL112" s="366"/>
      <c r="BM112" s="366"/>
      <c r="BN112" s="366"/>
      <c r="BO112" s="366"/>
      <c r="BP112" s="366"/>
      <c r="BQ112" s="366"/>
      <c r="BR112" s="366"/>
      <c r="BS112" s="366"/>
      <c r="BT112" s="366"/>
      <c r="BU112" s="366"/>
      <c r="BV112" s="366"/>
      <c r="BW112" s="366"/>
      <c r="BX112" s="366"/>
      <c r="BY112" s="423"/>
      <c r="BZ112" s="423"/>
      <c r="CI112" s="356"/>
      <c r="CJ112" s="356"/>
      <c r="CK112" s="356"/>
      <c r="CP112" s="356"/>
      <c r="CQ112" s="356"/>
      <c r="CR112" s="356"/>
      <c r="CS112" s="356"/>
      <c r="CT112" s="356"/>
      <c r="CU112" s="356"/>
      <c r="CV112" s="356"/>
      <c r="CW112" s="356"/>
      <c r="CX112" s="356"/>
      <c r="CY112" s="356"/>
      <c r="CZ112" s="356"/>
      <c r="DA112" s="356"/>
      <c r="DB112" s="356"/>
      <c r="DC112" s="356"/>
      <c r="DD112" s="356"/>
      <c r="DE112" s="356"/>
      <c r="DF112" s="356"/>
      <c r="DG112" s="356"/>
      <c r="DH112" s="356"/>
      <c r="DI112" s="356"/>
      <c r="DJ112" s="356"/>
      <c r="DK112" s="356"/>
      <c r="DL112" s="356"/>
      <c r="DM112" s="356"/>
      <c r="DN112" s="356"/>
      <c r="DO112" s="356"/>
      <c r="DP112" s="356"/>
      <c r="DQ112" s="356"/>
    </row>
    <row r="113" spans="1:121" hidden="1" outlineLevel="1">
      <c r="A113" s="124"/>
      <c r="B113" s="364"/>
      <c r="C113" s="356"/>
      <c r="D113" s="356"/>
      <c r="E113" s="362"/>
      <c r="F113" s="362"/>
      <c r="G113" s="356"/>
      <c r="H113" s="364"/>
      <c r="I113" s="364"/>
      <c r="J113" s="366"/>
      <c r="K113" s="366"/>
      <c r="L113" s="366"/>
      <c r="M113" s="366"/>
      <c r="N113" s="366"/>
      <c r="O113" s="366"/>
      <c r="P113" s="366"/>
      <c r="Q113" s="366"/>
      <c r="R113" s="369"/>
      <c r="S113" s="369"/>
      <c r="T113" s="366"/>
      <c r="U113" s="427"/>
      <c r="V113" s="427"/>
      <c r="W113" s="372"/>
      <c r="X113" s="373"/>
      <c r="Y113" s="373"/>
      <c r="Z113" s="374"/>
      <c r="AA113" s="374"/>
      <c r="AB113" s="374"/>
      <c r="AC113" s="374"/>
      <c r="AD113" s="369"/>
      <c r="AE113" s="376"/>
      <c r="AF113" s="376"/>
      <c r="AG113" s="376"/>
      <c r="AH113" s="376"/>
      <c r="AI113" s="375"/>
      <c r="AJ113" s="366"/>
      <c r="AK113" s="366"/>
      <c r="AL113" s="366"/>
      <c r="AM113" s="366"/>
      <c r="AN113" s="366"/>
      <c r="AO113" s="366"/>
      <c r="AP113" s="366"/>
      <c r="AQ113" s="366"/>
      <c r="AR113" s="366"/>
      <c r="AS113" s="366"/>
      <c r="AT113" s="366"/>
      <c r="AU113" s="366"/>
      <c r="AV113" s="366"/>
      <c r="AW113" s="366"/>
      <c r="AX113" s="366"/>
      <c r="AY113" s="366"/>
      <c r="AZ113" s="366"/>
      <c r="BA113" s="366"/>
      <c r="BB113" s="366"/>
      <c r="BC113" s="366"/>
      <c r="BD113" s="366"/>
      <c r="BE113" s="366"/>
      <c r="BF113" s="366"/>
      <c r="BG113" s="366"/>
      <c r="BH113" s="366"/>
      <c r="BI113" s="366"/>
      <c r="BJ113" s="366"/>
      <c r="BK113" s="366"/>
      <c r="BL113" s="366"/>
      <c r="BM113" s="366"/>
      <c r="BN113" s="366"/>
      <c r="BO113" s="366"/>
      <c r="BP113" s="366"/>
      <c r="BQ113" s="366"/>
      <c r="BR113" s="366"/>
      <c r="BS113" s="366"/>
      <c r="BT113" s="366"/>
      <c r="BU113" s="366"/>
      <c r="BV113" s="366"/>
      <c r="BW113" s="366"/>
      <c r="BX113" s="366"/>
      <c r="BY113" s="423"/>
      <c r="BZ113" s="423"/>
      <c r="CI113" s="356"/>
      <c r="CJ113" s="356"/>
      <c r="CK113" s="356"/>
      <c r="CP113" s="356"/>
      <c r="CQ113" s="356"/>
      <c r="CR113" s="356"/>
      <c r="CS113" s="356"/>
      <c r="CT113" s="356"/>
      <c r="CU113" s="356"/>
      <c r="CV113" s="356"/>
      <c r="CW113" s="356"/>
      <c r="CX113" s="356"/>
      <c r="CY113" s="356"/>
      <c r="CZ113" s="356"/>
      <c r="DA113" s="356"/>
      <c r="DB113" s="356"/>
      <c r="DC113" s="356"/>
      <c r="DD113" s="356"/>
      <c r="DE113" s="356"/>
      <c r="DF113" s="356"/>
      <c r="DG113" s="356"/>
      <c r="DH113" s="356"/>
      <c r="DI113" s="356"/>
      <c r="DJ113" s="356"/>
      <c r="DK113" s="356"/>
      <c r="DL113" s="356"/>
      <c r="DM113" s="356"/>
      <c r="DN113" s="356"/>
      <c r="DO113" s="356"/>
      <c r="DP113" s="356"/>
      <c r="DQ113" s="356"/>
    </row>
    <row r="114" spans="1:121" hidden="1" outlineLevel="1">
      <c r="A114" s="41"/>
      <c r="B114" s="364"/>
      <c r="C114" s="356"/>
      <c r="D114" s="356"/>
      <c r="E114" s="362"/>
      <c r="F114" s="362"/>
      <c r="G114" s="356"/>
      <c r="H114" s="364"/>
      <c r="I114" s="364"/>
      <c r="J114" s="366"/>
      <c r="K114" s="366"/>
      <c r="L114" s="366"/>
      <c r="M114" s="366"/>
      <c r="N114" s="366"/>
      <c r="O114" s="366"/>
      <c r="P114" s="366"/>
      <c r="Q114" s="366"/>
      <c r="R114" s="369"/>
      <c r="S114" s="369"/>
      <c r="T114" s="366"/>
      <c r="U114" s="427"/>
      <c r="V114" s="427"/>
      <c r="W114" s="372"/>
      <c r="X114" s="373"/>
      <c r="Y114" s="373"/>
      <c r="Z114" s="374"/>
      <c r="AA114" s="374"/>
      <c r="AB114" s="374"/>
      <c r="AC114" s="374"/>
      <c r="AD114" s="369"/>
      <c r="AE114" s="376"/>
      <c r="AF114" s="376"/>
      <c r="AG114" s="376"/>
      <c r="AH114" s="376"/>
      <c r="AI114" s="375"/>
      <c r="AJ114" s="366"/>
      <c r="AK114" s="366"/>
      <c r="AL114" s="366"/>
      <c r="AM114" s="366"/>
      <c r="AN114" s="366"/>
      <c r="AO114" s="366"/>
      <c r="AP114" s="366"/>
      <c r="AQ114" s="366"/>
      <c r="AR114" s="366"/>
      <c r="AS114" s="366"/>
      <c r="AT114" s="366"/>
      <c r="AU114" s="366"/>
      <c r="AV114" s="366"/>
      <c r="AW114" s="366"/>
      <c r="AX114" s="366"/>
      <c r="AY114" s="366"/>
      <c r="AZ114" s="366"/>
      <c r="BA114" s="366"/>
      <c r="BB114" s="366"/>
      <c r="BC114" s="366"/>
      <c r="BD114" s="366"/>
      <c r="BE114" s="366"/>
      <c r="BF114" s="366"/>
      <c r="BG114" s="366"/>
      <c r="BH114" s="366"/>
      <c r="BI114" s="366"/>
      <c r="BJ114" s="366"/>
      <c r="BK114" s="366"/>
      <c r="BL114" s="366"/>
      <c r="BM114" s="366"/>
      <c r="BN114" s="366"/>
      <c r="BO114" s="366"/>
      <c r="BP114" s="366"/>
      <c r="BQ114" s="366"/>
      <c r="BR114" s="366"/>
      <c r="BS114" s="366"/>
      <c r="BT114" s="366"/>
      <c r="BU114" s="366"/>
      <c r="BV114" s="366"/>
      <c r="BW114" s="366"/>
      <c r="BX114" s="366"/>
      <c r="BY114" s="423"/>
      <c r="BZ114" s="423"/>
      <c r="CI114" s="356"/>
      <c r="CJ114" s="356"/>
      <c r="CK114" s="356"/>
      <c r="CP114" s="356"/>
      <c r="CQ114" s="356"/>
      <c r="CR114" s="356"/>
      <c r="CS114" s="356"/>
      <c r="CT114" s="356"/>
      <c r="CU114" s="356"/>
      <c r="CV114" s="356"/>
      <c r="CW114" s="356"/>
      <c r="CX114" s="356"/>
      <c r="CY114" s="356"/>
      <c r="CZ114" s="356"/>
      <c r="DA114" s="356"/>
      <c r="DB114" s="356"/>
      <c r="DC114" s="356"/>
      <c r="DD114" s="356"/>
      <c r="DE114" s="356"/>
      <c r="DF114" s="356"/>
      <c r="DG114" s="356"/>
      <c r="DH114" s="356"/>
      <c r="DI114" s="356"/>
      <c r="DJ114" s="356"/>
      <c r="DK114" s="356"/>
      <c r="DL114" s="356"/>
      <c r="DM114" s="356"/>
      <c r="DN114" s="356"/>
      <c r="DO114" s="356"/>
      <c r="DP114" s="356"/>
      <c r="DQ114" s="356"/>
    </row>
    <row r="115" spans="1:121" hidden="1" outlineLevel="1">
      <c r="A115" s="41"/>
      <c r="B115" s="364"/>
      <c r="C115" s="356"/>
      <c r="D115" s="356"/>
      <c r="E115" s="362"/>
      <c r="F115" s="362"/>
      <c r="G115" s="356"/>
      <c r="H115" s="364"/>
      <c r="I115" s="364"/>
      <c r="J115" s="366"/>
      <c r="K115" s="366"/>
      <c r="L115" s="366"/>
      <c r="M115" s="366"/>
      <c r="N115" s="366"/>
      <c r="O115" s="366"/>
      <c r="P115" s="366"/>
      <c r="Q115" s="366"/>
      <c r="R115" s="369"/>
      <c r="S115" s="369"/>
      <c r="T115" s="366"/>
      <c r="U115" s="427"/>
      <c r="V115" s="427"/>
      <c r="W115" s="372"/>
      <c r="X115" s="373"/>
      <c r="Y115" s="373"/>
      <c r="Z115" s="374"/>
      <c r="AA115" s="374"/>
      <c r="AB115" s="374"/>
      <c r="AC115" s="374"/>
      <c r="AD115" s="369"/>
      <c r="AE115" s="376"/>
      <c r="AF115" s="376"/>
      <c r="AG115" s="376"/>
      <c r="AH115" s="376"/>
      <c r="AI115" s="375"/>
      <c r="AJ115" s="366"/>
      <c r="AK115" s="366"/>
      <c r="AL115" s="366"/>
      <c r="AM115" s="366"/>
      <c r="AN115" s="366"/>
      <c r="AO115" s="366"/>
      <c r="AP115" s="366"/>
      <c r="AQ115" s="366"/>
      <c r="AR115" s="366"/>
      <c r="AS115" s="366"/>
      <c r="AT115" s="366"/>
      <c r="AU115" s="366"/>
      <c r="AV115" s="366"/>
      <c r="AW115" s="366"/>
      <c r="AX115" s="366"/>
      <c r="AY115" s="366"/>
      <c r="AZ115" s="366"/>
      <c r="BA115" s="366"/>
      <c r="BB115" s="366"/>
      <c r="BC115" s="366"/>
      <c r="BD115" s="366"/>
      <c r="BE115" s="366"/>
      <c r="BF115" s="366"/>
      <c r="BG115" s="366"/>
      <c r="BH115" s="366"/>
      <c r="BI115" s="366"/>
      <c r="BJ115" s="366"/>
      <c r="BK115" s="366"/>
      <c r="BL115" s="366"/>
      <c r="BM115" s="366"/>
      <c r="BN115" s="366"/>
      <c r="BO115" s="366"/>
      <c r="BP115" s="366"/>
      <c r="BQ115" s="366"/>
      <c r="BR115" s="366"/>
      <c r="BS115" s="366"/>
      <c r="BT115" s="366"/>
      <c r="BU115" s="366"/>
      <c r="BV115" s="366"/>
      <c r="BW115" s="366"/>
      <c r="BX115" s="366"/>
      <c r="BY115" s="423"/>
      <c r="BZ115" s="423"/>
      <c r="CI115" s="356"/>
      <c r="CJ115" s="356"/>
      <c r="CK115" s="356"/>
      <c r="CP115" s="356"/>
      <c r="CQ115" s="356"/>
      <c r="CR115" s="356"/>
      <c r="CS115" s="356"/>
      <c r="CT115" s="356"/>
      <c r="CU115" s="356"/>
      <c r="CV115" s="356"/>
      <c r="CW115" s="356"/>
      <c r="CX115" s="356"/>
      <c r="CY115" s="356"/>
      <c r="CZ115" s="356"/>
      <c r="DA115" s="356"/>
      <c r="DB115" s="356"/>
      <c r="DC115" s="356"/>
      <c r="DD115" s="356"/>
      <c r="DE115" s="356"/>
      <c r="DF115" s="356"/>
      <c r="DG115" s="356"/>
      <c r="DH115" s="356"/>
      <c r="DI115" s="356"/>
      <c r="DJ115" s="356"/>
      <c r="DK115" s="356"/>
      <c r="DL115" s="356"/>
      <c r="DM115" s="356"/>
      <c r="DN115" s="356"/>
      <c r="DO115" s="356"/>
      <c r="DP115" s="356"/>
      <c r="DQ115" s="356"/>
    </row>
    <row r="116" spans="1:121" hidden="1" outlineLevel="1">
      <c r="A116" s="41"/>
      <c r="B116" s="364"/>
      <c r="C116" s="356"/>
      <c r="D116" s="356"/>
      <c r="E116" s="362"/>
      <c r="F116" s="362"/>
      <c r="G116" s="356"/>
      <c r="H116" s="364"/>
      <c r="I116" s="364"/>
      <c r="J116" s="366"/>
      <c r="K116" s="366"/>
      <c r="L116" s="366"/>
      <c r="M116" s="366"/>
      <c r="N116" s="366"/>
      <c r="O116" s="366"/>
      <c r="P116" s="366"/>
      <c r="Q116" s="366"/>
      <c r="R116" s="369"/>
      <c r="S116" s="369"/>
      <c r="T116" s="366"/>
      <c r="U116" s="427"/>
      <c r="V116" s="427"/>
      <c r="W116" s="372"/>
      <c r="X116" s="373"/>
      <c r="Y116" s="373"/>
      <c r="Z116" s="374"/>
      <c r="AA116" s="374"/>
      <c r="AB116" s="374"/>
      <c r="AC116" s="374"/>
      <c r="AD116" s="369"/>
      <c r="AE116" s="376"/>
      <c r="AF116" s="376"/>
      <c r="AG116" s="376"/>
      <c r="AH116" s="376"/>
      <c r="AI116" s="375"/>
      <c r="AJ116" s="366"/>
      <c r="AK116" s="366"/>
      <c r="AL116" s="366"/>
      <c r="AM116" s="366"/>
      <c r="AN116" s="366"/>
      <c r="AO116" s="366"/>
      <c r="AP116" s="366"/>
      <c r="AQ116" s="366"/>
      <c r="AR116" s="366"/>
      <c r="AS116" s="366"/>
      <c r="AT116" s="366"/>
      <c r="AU116" s="366"/>
      <c r="AV116" s="366"/>
      <c r="AW116" s="366"/>
      <c r="AX116" s="366"/>
      <c r="AY116" s="366"/>
      <c r="AZ116" s="366"/>
      <c r="BA116" s="366"/>
      <c r="BB116" s="366"/>
      <c r="BC116" s="366"/>
      <c r="BD116" s="366"/>
      <c r="BE116" s="366"/>
      <c r="BF116" s="366"/>
      <c r="BG116" s="366"/>
      <c r="BH116" s="366"/>
      <c r="BI116" s="366"/>
      <c r="BJ116" s="366"/>
      <c r="BK116" s="366"/>
      <c r="BL116" s="366"/>
      <c r="BM116" s="366"/>
      <c r="BN116" s="366"/>
      <c r="BO116" s="366"/>
      <c r="BP116" s="366"/>
      <c r="BQ116" s="366"/>
      <c r="BR116" s="366"/>
      <c r="BS116" s="366"/>
      <c r="BT116" s="366"/>
      <c r="BU116" s="366"/>
      <c r="BV116" s="366"/>
      <c r="BW116" s="366"/>
      <c r="BX116" s="366"/>
      <c r="BY116" s="423"/>
      <c r="BZ116" s="423"/>
      <c r="CI116" s="356"/>
      <c r="CJ116" s="356"/>
      <c r="CK116" s="356"/>
      <c r="CP116" s="356"/>
      <c r="CQ116" s="356"/>
      <c r="CR116" s="356"/>
      <c r="CS116" s="356"/>
      <c r="CT116" s="356"/>
      <c r="CU116" s="356"/>
      <c r="CV116" s="356"/>
      <c r="CW116" s="356"/>
      <c r="CX116" s="356"/>
      <c r="CY116" s="356"/>
      <c r="CZ116" s="356"/>
      <c r="DA116" s="356"/>
      <c r="DB116" s="356"/>
      <c r="DC116" s="356"/>
      <c r="DD116" s="356"/>
      <c r="DE116" s="356"/>
      <c r="DF116" s="356"/>
      <c r="DG116" s="356"/>
      <c r="DH116" s="356"/>
      <c r="DI116" s="356"/>
      <c r="DJ116" s="356"/>
      <c r="DK116" s="356"/>
      <c r="DL116" s="356"/>
      <c r="DM116" s="356"/>
      <c r="DN116" s="356"/>
      <c r="DO116" s="356"/>
      <c r="DP116" s="356"/>
      <c r="DQ116" s="356"/>
    </row>
    <row r="117" spans="1:121" hidden="1" outlineLevel="1">
      <c r="A117" s="41"/>
      <c r="B117" s="364"/>
      <c r="C117" s="356"/>
      <c r="D117" s="356"/>
      <c r="E117" s="362"/>
      <c r="F117" s="362"/>
      <c r="G117" s="356"/>
      <c r="H117" s="364"/>
      <c r="I117" s="364"/>
      <c r="J117" s="366"/>
      <c r="K117" s="366"/>
      <c r="L117" s="366"/>
      <c r="M117" s="366"/>
      <c r="N117" s="366"/>
      <c r="O117" s="366"/>
      <c r="P117" s="366"/>
      <c r="Q117" s="366"/>
      <c r="R117" s="369"/>
      <c r="S117" s="369"/>
      <c r="T117" s="366"/>
      <c r="U117" s="427"/>
      <c r="V117" s="427"/>
      <c r="W117" s="372"/>
      <c r="X117" s="373"/>
      <c r="Y117" s="373"/>
      <c r="Z117" s="374"/>
      <c r="AA117" s="374"/>
      <c r="AB117" s="374"/>
      <c r="AC117" s="374"/>
      <c r="AD117" s="369"/>
      <c r="AE117" s="376"/>
      <c r="AF117" s="376"/>
      <c r="AG117" s="376"/>
      <c r="AH117" s="376"/>
      <c r="AI117" s="375"/>
      <c r="AJ117" s="366"/>
      <c r="AK117" s="366"/>
      <c r="AL117" s="366"/>
      <c r="AM117" s="366"/>
      <c r="AN117" s="366"/>
      <c r="AO117" s="366"/>
      <c r="AP117" s="366"/>
      <c r="AQ117" s="366"/>
      <c r="AR117" s="366"/>
      <c r="AS117" s="366"/>
      <c r="AT117" s="366"/>
      <c r="AU117" s="366"/>
      <c r="AV117" s="366"/>
      <c r="AW117" s="366"/>
      <c r="AX117" s="366"/>
      <c r="AY117" s="366"/>
      <c r="AZ117" s="366"/>
      <c r="BA117" s="366"/>
      <c r="BB117" s="366"/>
      <c r="BC117" s="366"/>
      <c r="BD117" s="366"/>
      <c r="BE117" s="366"/>
      <c r="BF117" s="366"/>
      <c r="BG117" s="366"/>
      <c r="BH117" s="366"/>
      <c r="BI117" s="366"/>
      <c r="BJ117" s="366"/>
      <c r="BK117" s="366"/>
      <c r="BL117" s="366"/>
      <c r="BM117" s="366"/>
      <c r="BN117" s="366"/>
      <c r="BO117" s="366"/>
      <c r="BP117" s="366"/>
      <c r="BQ117" s="366"/>
      <c r="BR117" s="366"/>
      <c r="BS117" s="366"/>
      <c r="BT117" s="366"/>
      <c r="BU117" s="366"/>
      <c r="BV117" s="366"/>
      <c r="BW117" s="366"/>
      <c r="BX117" s="366"/>
      <c r="BY117" s="423"/>
      <c r="BZ117" s="423"/>
      <c r="CI117" s="356"/>
      <c r="CJ117" s="356"/>
      <c r="CK117" s="356"/>
      <c r="CP117" s="356"/>
      <c r="CQ117" s="356"/>
      <c r="CR117" s="356"/>
      <c r="CS117" s="356"/>
      <c r="CT117" s="356"/>
      <c r="CU117" s="356"/>
      <c r="CV117" s="356"/>
      <c r="CW117" s="356"/>
      <c r="CX117" s="356"/>
      <c r="CY117" s="356"/>
      <c r="CZ117" s="356"/>
      <c r="DA117" s="356"/>
      <c r="DB117" s="356"/>
      <c r="DC117" s="356"/>
      <c r="DD117" s="356"/>
      <c r="DE117" s="356"/>
      <c r="DF117" s="356"/>
      <c r="DG117" s="356"/>
      <c r="DH117" s="356"/>
      <c r="DI117" s="356"/>
      <c r="DJ117" s="356"/>
      <c r="DK117" s="356"/>
      <c r="DL117" s="356"/>
      <c r="DM117" s="356"/>
      <c r="DN117" s="356"/>
      <c r="DO117" s="356"/>
      <c r="DP117" s="356"/>
      <c r="DQ117" s="356"/>
    </row>
    <row r="118" spans="1:121" hidden="1" outlineLevel="1">
      <c r="A118" s="41"/>
      <c r="B118" s="364"/>
      <c r="C118" s="356"/>
      <c r="D118" s="356"/>
      <c r="E118" s="362"/>
      <c r="F118" s="362"/>
      <c r="G118" s="356"/>
      <c r="H118" s="364"/>
      <c r="I118" s="364"/>
      <c r="J118" s="366"/>
      <c r="K118" s="366"/>
      <c r="L118" s="366"/>
      <c r="M118" s="366"/>
      <c r="N118" s="366"/>
      <c r="O118" s="366"/>
      <c r="P118" s="366"/>
      <c r="Q118" s="366"/>
      <c r="R118" s="369"/>
      <c r="S118" s="369"/>
      <c r="T118" s="366"/>
      <c r="U118" s="427"/>
      <c r="V118" s="427"/>
      <c r="W118" s="372"/>
      <c r="X118" s="373"/>
      <c r="Y118" s="373"/>
      <c r="Z118" s="374"/>
      <c r="AA118" s="374"/>
      <c r="AB118" s="374"/>
      <c r="AC118" s="374"/>
      <c r="AD118" s="369"/>
      <c r="AE118" s="376"/>
      <c r="AF118" s="376"/>
      <c r="AG118" s="376"/>
      <c r="AH118" s="376"/>
      <c r="AI118" s="375"/>
      <c r="AJ118" s="366"/>
      <c r="AK118" s="366"/>
      <c r="AL118" s="366"/>
      <c r="AM118" s="366"/>
      <c r="AN118" s="366"/>
      <c r="AO118" s="366"/>
      <c r="AP118" s="366"/>
      <c r="AQ118" s="366"/>
      <c r="AR118" s="366"/>
      <c r="AS118" s="366"/>
      <c r="AT118" s="366"/>
      <c r="AU118" s="366"/>
      <c r="AV118" s="366"/>
      <c r="AW118" s="366"/>
      <c r="AX118" s="366"/>
      <c r="AY118" s="366"/>
      <c r="AZ118" s="366"/>
      <c r="BA118" s="366"/>
      <c r="BB118" s="366"/>
      <c r="BC118" s="366"/>
      <c r="BD118" s="366"/>
      <c r="BE118" s="366"/>
      <c r="BF118" s="366"/>
      <c r="BG118" s="366"/>
      <c r="BH118" s="366"/>
      <c r="BI118" s="366"/>
      <c r="BJ118" s="366"/>
      <c r="BK118" s="366"/>
      <c r="BL118" s="366"/>
      <c r="BM118" s="366"/>
      <c r="BN118" s="366"/>
      <c r="BO118" s="366"/>
      <c r="BP118" s="366"/>
      <c r="BQ118" s="366"/>
      <c r="BR118" s="366"/>
      <c r="BS118" s="366"/>
      <c r="BT118" s="366"/>
      <c r="BU118" s="366"/>
      <c r="BV118" s="366"/>
      <c r="BW118" s="366"/>
      <c r="BX118" s="366"/>
      <c r="BY118" s="423"/>
      <c r="BZ118" s="423"/>
      <c r="CI118" s="356"/>
      <c r="CJ118" s="356"/>
      <c r="CK118" s="356"/>
      <c r="CP118" s="356"/>
      <c r="CQ118" s="356"/>
      <c r="CR118" s="356"/>
      <c r="CS118" s="356"/>
      <c r="CT118" s="356"/>
      <c r="CU118" s="356"/>
      <c r="CV118" s="356"/>
      <c r="CW118" s="356"/>
      <c r="CX118" s="356"/>
      <c r="CY118" s="356"/>
      <c r="CZ118" s="356"/>
      <c r="DA118" s="356"/>
      <c r="DB118" s="356"/>
      <c r="DC118" s="356"/>
      <c r="DD118" s="356"/>
      <c r="DE118" s="356"/>
      <c r="DF118" s="356"/>
      <c r="DG118" s="356"/>
      <c r="DH118" s="356"/>
      <c r="DI118" s="356"/>
      <c r="DJ118" s="356"/>
      <c r="DK118" s="356"/>
      <c r="DL118" s="356"/>
      <c r="DM118" s="356"/>
      <c r="DN118" s="356"/>
      <c r="DO118" s="356"/>
      <c r="DP118" s="356"/>
      <c r="DQ118" s="356"/>
    </row>
    <row r="119" spans="1:121" hidden="1" outlineLevel="1">
      <c r="A119" s="41"/>
      <c r="B119" s="364"/>
      <c r="C119" s="356"/>
      <c r="D119" s="356"/>
      <c r="E119" s="362"/>
      <c r="F119" s="362"/>
      <c r="G119" s="356"/>
      <c r="H119" s="364"/>
      <c r="I119" s="364"/>
      <c r="J119" s="366"/>
      <c r="K119" s="366"/>
      <c r="L119" s="366"/>
      <c r="M119" s="366"/>
      <c r="N119" s="366"/>
      <c r="O119" s="366"/>
      <c r="P119" s="366"/>
      <c r="Q119" s="366"/>
      <c r="R119" s="369"/>
      <c r="S119" s="369"/>
      <c r="T119" s="366"/>
      <c r="U119" s="427"/>
      <c r="V119" s="427"/>
      <c r="W119" s="372"/>
      <c r="X119" s="373"/>
      <c r="Y119" s="373"/>
      <c r="Z119" s="374"/>
      <c r="AA119" s="374"/>
      <c r="AB119" s="374"/>
      <c r="AC119" s="374"/>
      <c r="AD119" s="369"/>
      <c r="AE119" s="376"/>
      <c r="AF119" s="376"/>
      <c r="AG119" s="376"/>
      <c r="AH119" s="376"/>
      <c r="AI119" s="375"/>
      <c r="AJ119" s="366"/>
      <c r="AK119" s="366"/>
      <c r="AL119" s="366"/>
      <c r="AM119" s="366"/>
      <c r="AN119" s="366"/>
      <c r="AO119" s="366"/>
      <c r="AP119" s="366"/>
      <c r="AQ119" s="366"/>
      <c r="AR119" s="366"/>
      <c r="AS119" s="366"/>
      <c r="AT119" s="366"/>
      <c r="AU119" s="366"/>
      <c r="AV119" s="366"/>
      <c r="AW119" s="366"/>
      <c r="AX119" s="366"/>
      <c r="AY119" s="366"/>
      <c r="AZ119" s="366"/>
      <c r="BA119" s="366"/>
      <c r="BB119" s="366"/>
      <c r="BC119" s="366"/>
      <c r="BD119" s="366"/>
      <c r="BE119" s="366"/>
      <c r="BF119" s="366"/>
      <c r="BG119" s="366"/>
      <c r="BH119" s="366"/>
      <c r="BI119" s="366"/>
      <c r="BJ119" s="366"/>
      <c r="BK119" s="366"/>
      <c r="BL119" s="366"/>
      <c r="BM119" s="366"/>
      <c r="BN119" s="366"/>
      <c r="BO119" s="366"/>
      <c r="BP119" s="366"/>
      <c r="BQ119" s="366"/>
      <c r="BR119" s="366"/>
      <c r="BS119" s="366"/>
      <c r="BT119" s="366"/>
      <c r="BU119" s="366"/>
      <c r="BV119" s="366"/>
      <c r="BW119" s="366"/>
      <c r="BX119" s="366"/>
      <c r="BY119" s="423"/>
      <c r="BZ119" s="423"/>
      <c r="CI119" s="356"/>
      <c r="CJ119" s="356"/>
      <c r="CK119" s="356"/>
      <c r="CP119" s="356"/>
      <c r="CQ119" s="356"/>
      <c r="CR119" s="356"/>
      <c r="CS119" s="356"/>
      <c r="CT119" s="356"/>
      <c r="CU119" s="356"/>
      <c r="CV119" s="356"/>
      <c r="CW119" s="356"/>
      <c r="CX119" s="356"/>
      <c r="CY119" s="356"/>
      <c r="CZ119" s="356"/>
      <c r="DA119" s="356"/>
      <c r="DB119" s="356"/>
      <c r="DC119" s="356"/>
      <c r="DD119" s="356"/>
      <c r="DE119" s="356"/>
      <c r="DF119" s="356"/>
      <c r="DG119" s="356"/>
      <c r="DH119" s="356"/>
      <c r="DI119" s="356"/>
      <c r="DJ119" s="356"/>
      <c r="DK119" s="356"/>
      <c r="DL119" s="356"/>
      <c r="DM119" s="356"/>
      <c r="DN119" s="356"/>
      <c r="DO119" s="356"/>
      <c r="DP119" s="356"/>
      <c r="DQ119" s="356"/>
    </row>
    <row r="120" spans="1:121" hidden="1" outlineLevel="1">
      <c r="A120" s="41"/>
      <c r="B120" s="364"/>
      <c r="C120" s="356"/>
      <c r="D120" s="356"/>
      <c r="E120" s="362"/>
      <c r="F120" s="362"/>
      <c r="G120" s="356"/>
      <c r="H120" s="364"/>
      <c r="I120" s="364"/>
      <c r="J120" s="366"/>
      <c r="K120" s="366"/>
      <c r="L120" s="366"/>
      <c r="M120" s="366"/>
      <c r="N120" s="366"/>
      <c r="O120" s="366"/>
      <c r="P120" s="366"/>
      <c r="Q120" s="366"/>
      <c r="R120" s="369"/>
      <c r="S120" s="369"/>
      <c r="T120" s="366"/>
      <c r="U120" s="427"/>
      <c r="V120" s="427"/>
      <c r="W120" s="372"/>
      <c r="X120" s="373"/>
      <c r="Y120" s="373"/>
      <c r="Z120" s="374"/>
      <c r="AA120" s="374"/>
      <c r="AB120" s="374"/>
      <c r="AC120" s="374"/>
      <c r="AD120" s="369"/>
      <c r="AE120" s="376"/>
      <c r="AF120" s="376"/>
      <c r="AG120" s="376"/>
      <c r="AH120" s="376"/>
      <c r="AI120" s="375"/>
      <c r="AJ120" s="366"/>
      <c r="AK120" s="366"/>
      <c r="AL120" s="366"/>
      <c r="AM120" s="366"/>
      <c r="AN120" s="366"/>
      <c r="AO120" s="366"/>
      <c r="AP120" s="366"/>
      <c r="AQ120" s="366"/>
      <c r="AR120" s="366"/>
      <c r="AS120" s="366"/>
      <c r="AT120" s="366"/>
      <c r="AU120" s="366"/>
      <c r="AV120" s="366"/>
      <c r="AW120" s="366"/>
      <c r="AX120" s="366"/>
      <c r="AY120" s="366"/>
      <c r="AZ120" s="366"/>
      <c r="BA120" s="366"/>
      <c r="BB120" s="366"/>
      <c r="BC120" s="366"/>
      <c r="BD120" s="366"/>
      <c r="BE120" s="366"/>
      <c r="BF120" s="366"/>
      <c r="BG120" s="366"/>
      <c r="BH120" s="366"/>
      <c r="BI120" s="366"/>
      <c r="BJ120" s="366"/>
      <c r="BK120" s="366"/>
      <c r="BL120" s="366"/>
      <c r="BM120" s="366"/>
      <c r="BN120" s="366"/>
      <c r="BO120" s="366"/>
      <c r="BP120" s="366"/>
      <c r="BQ120" s="366"/>
      <c r="BR120" s="366"/>
      <c r="BS120" s="366"/>
      <c r="BT120" s="366"/>
      <c r="BU120" s="366"/>
      <c r="BV120" s="366"/>
      <c r="BW120" s="366"/>
      <c r="BX120" s="366"/>
      <c r="BY120" s="423"/>
      <c r="BZ120" s="423"/>
      <c r="CI120" s="356"/>
      <c r="CJ120" s="356"/>
      <c r="CK120" s="356"/>
      <c r="CP120" s="356"/>
      <c r="CQ120" s="356"/>
      <c r="CR120" s="356"/>
      <c r="CS120" s="356"/>
      <c r="CT120" s="356"/>
      <c r="CU120" s="356"/>
      <c r="CV120" s="356"/>
      <c r="CW120" s="356"/>
      <c r="CX120" s="356"/>
      <c r="CY120" s="356"/>
      <c r="CZ120" s="356"/>
      <c r="DA120" s="356"/>
      <c r="DB120" s="356"/>
      <c r="DC120" s="356"/>
      <c r="DD120" s="356"/>
      <c r="DE120" s="356"/>
      <c r="DF120" s="356"/>
      <c r="DG120" s="356"/>
      <c r="DH120" s="356"/>
      <c r="DI120" s="356"/>
      <c r="DJ120" s="356"/>
      <c r="DK120" s="356"/>
      <c r="DL120" s="356"/>
      <c r="DM120" s="356"/>
      <c r="DN120" s="356"/>
      <c r="DO120" s="356"/>
      <c r="DP120" s="356"/>
      <c r="DQ120" s="356"/>
    </row>
    <row r="121" spans="1:121" hidden="1" outlineLevel="1">
      <c r="A121" s="41"/>
      <c r="B121" s="364"/>
      <c r="C121" s="356"/>
      <c r="D121" s="356"/>
      <c r="E121" s="362"/>
      <c r="F121" s="362"/>
      <c r="G121" s="356"/>
      <c r="H121" s="364"/>
      <c r="I121" s="364"/>
      <c r="J121" s="366"/>
      <c r="K121" s="366"/>
      <c r="L121" s="366"/>
      <c r="M121" s="366"/>
      <c r="N121" s="366"/>
      <c r="O121" s="366"/>
      <c r="P121" s="366"/>
      <c r="Q121" s="366"/>
      <c r="R121" s="369"/>
      <c r="S121" s="369"/>
      <c r="T121" s="366"/>
      <c r="U121" s="427"/>
      <c r="V121" s="427"/>
      <c r="W121" s="372"/>
      <c r="X121" s="373"/>
      <c r="Y121" s="373"/>
      <c r="Z121" s="374"/>
      <c r="AA121" s="374"/>
      <c r="AB121" s="374"/>
      <c r="AC121" s="374"/>
      <c r="AD121" s="369"/>
      <c r="AE121" s="376"/>
      <c r="AF121" s="376"/>
      <c r="AG121" s="376"/>
      <c r="AH121" s="376"/>
      <c r="AI121" s="375"/>
      <c r="AJ121" s="366"/>
      <c r="AK121" s="366"/>
      <c r="AL121" s="366"/>
      <c r="AM121" s="366"/>
      <c r="AN121" s="366"/>
      <c r="AO121" s="366"/>
      <c r="AP121" s="366"/>
      <c r="AQ121" s="366"/>
      <c r="AR121" s="366"/>
      <c r="AS121" s="366"/>
      <c r="AT121" s="366"/>
      <c r="AU121" s="366"/>
      <c r="AV121" s="366"/>
      <c r="AW121" s="366"/>
      <c r="AX121" s="366"/>
      <c r="AY121" s="366"/>
      <c r="AZ121" s="366"/>
      <c r="BA121" s="366"/>
      <c r="BB121" s="366"/>
      <c r="BC121" s="366"/>
      <c r="BD121" s="366"/>
      <c r="BE121" s="366"/>
      <c r="BF121" s="366"/>
      <c r="BG121" s="366"/>
      <c r="BH121" s="366"/>
      <c r="BI121" s="366"/>
      <c r="BJ121" s="366"/>
      <c r="BK121" s="366"/>
      <c r="BL121" s="366"/>
      <c r="BM121" s="366"/>
      <c r="BN121" s="366"/>
      <c r="BO121" s="366"/>
      <c r="BP121" s="366"/>
      <c r="BQ121" s="366"/>
      <c r="BR121" s="366"/>
      <c r="BS121" s="366"/>
      <c r="BT121" s="366"/>
      <c r="BU121" s="366"/>
      <c r="BV121" s="366"/>
      <c r="BW121" s="366"/>
      <c r="BX121" s="366"/>
      <c r="BY121" s="423"/>
      <c r="BZ121" s="423"/>
      <c r="CI121" s="356"/>
      <c r="CJ121" s="356"/>
      <c r="CK121" s="356"/>
      <c r="CP121" s="356"/>
      <c r="CQ121" s="356"/>
      <c r="CR121" s="356"/>
      <c r="CS121" s="356"/>
      <c r="CT121" s="356"/>
      <c r="CU121" s="356"/>
      <c r="CV121" s="356"/>
      <c r="CW121" s="356"/>
      <c r="CX121" s="356"/>
      <c r="CY121" s="356"/>
      <c r="CZ121" s="356"/>
      <c r="DA121" s="356"/>
      <c r="DB121" s="356"/>
      <c r="DC121" s="356"/>
      <c r="DD121" s="356"/>
      <c r="DE121" s="356"/>
      <c r="DF121" s="356"/>
      <c r="DG121" s="356"/>
      <c r="DH121" s="356"/>
      <c r="DI121" s="356"/>
      <c r="DJ121" s="356"/>
      <c r="DK121" s="356"/>
      <c r="DL121" s="356"/>
      <c r="DM121" s="356"/>
      <c r="DN121" s="356"/>
      <c r="DO121" s="356"/>
      <c r="DP121" s="356"/>
      <c r="DQ121" s="356"/>
    </row>
    <row r="122" spans="1:121" hidden="1" outlineLevel="1">
      <c r="A122" s="41"/>
      <c r="B122" s="364"/>
      <c r="C122" s="356"/>
      <c r="D122" s="356"/>
      <c r="E122" s="362"/>
      <c r="F122" s="362"/>
      <c r="G122" s="356"/>
      <c r="H122" s="364"/>
      <c r="I122" s="364"/>
      <c r="J122" s="366"/>
      <c r="K122" s="366"/>
      <c r="L122" s="366"/>
      <c r="M122" s="366"/>
      <c r="N122" s="366"/>
      <c r="O122" s="366"/>
      <c r="P122" s="366"/>
      <c r="Q122" s="366"/>
      <c r="R122" s="369"/>
      <c r="S122" s="369"/>
      <c r="T122" s="366"/>
      <c r="U122" s="427"/>
      <c r="V122" s="427"/>
      <c r="W122" s="372"/>
      <c r="X122" s="373"/>
      <c r="Y122" s="373"/>
      <c r="Z122" s="374"/>
      <c r="AA122" s="374"/>
      <c r="AB122" s="374"/>
      <c r="AC122" s="374"/>
      <c r="AD122" s="369"/>
      <c r="AE122" s="376"/>
      <c r="AF122" s="376"/>
      <c r="AG122" s="376"/>
      <c r="AH122" s="376"/>
      <c r="AI122" s="375"/>
      <c r="AJ122" s="366"/>
      <c r="AK122" s="366"/>
      <c r="AL122" s="366"/>
      <c r="AM122" s="366"/>
      <c r="AN122" s="366"/>
      <c r="AO122" s="366"/>
      <c r="AP122" s="366"/>
      <c r="AQ122" s="366"/>
      <c r="AR122" s="366"/>
      <c r="AS122" s="366"/>
      <c r="AT122" s="366"/>
      <c r="AU122" s="366"/>
      <c r="AV122" s="366"/>
      <c r="AW122" s="366"/>
      <c r="AX122" s="366"/>
      <c r="AY122" s="366"/>
      <c r="AZ122" s="366"/>
      <c r="BA122" s="366"/>
      <c r="BB122" s="366"/>
      <c r="BC122" s="366"/>
      <c r="BD122" s="366"/>
      <c r="BE122" s="366"/>
      <c r="BF122" s="366"/>
      <c r="BG122" s="366"/>
      <c r="BH122" s="366"/>
      <c r="BI122" s="366"/>
      <c r="BJ122" s="366"/>
      <c r="BK122" s="366"/>
      <c r="BL122" s="366"/>
      <c r="BM122" s="366"/>
      <c r="BN122" s="366"/>
      <c r="BO122" s="366"/>
      <c r="BP122" s="366"/>
      <c r="BQ122" s="366"/>
      <c r="BR122" s="366"/>
      <c r="BS122" s="366"/>
      <c r="BT122" s="366"/>
      <c r="BU122" s="366"/>
      <c r="BV122" s="366"/>
      <c r="BW122" s="366"/>
      <c r="BX122" s="366"/>
      <c r="BY122" s="423"/>
      <c r="BZ122" s="423"/>
      <c r="CI122" s="356"/>
      <c r="CJ122" s="356"/>
      <c r="CK122" s="356"/>
      <c r="CP122" s="356"/>
      <c r="CQ122" s="356"/>
      <c r="CR122" s="356"/>
      <c r="CS122" s="356"/>
      <c r="CT122" s="356"/>
      <c r="CU122" s="356"/>
      <c r="CV122" s="356"/>
      <c r="CW122" s="356"/>
      <c r="CX122" s="356"/>
      <c r="CY122" s="356"/>
      <c r="CZ122" s="356"/>
      <c r="DA122" s="356"/>
      <c r="DB122" s="356"/>
      <c r="DC122" s="356"/>
      <c r="DD122" s="356"/>
      <c r="DE122" s="356"/>
      <c r="DF122" s="356"/>
      <c r="DG122" s="356"/>
      <c r="DH122" s="356"/>
      <c r="DI122" s="356"/>
      <c r="DJ122" s="356"/>
      <c r="DK122" s="356"/>
      <c r="DL122" s="356"/>
      <c r="DM122" s="356"/>
      <c r="DN122" s="356"/>
      <c r="DO122" s="356"/>
      <c r="DP122" s="356"/>
      <c r="DQ122" s="356"/>
    </row>
    <row r="123" spans="1:121" hidden="1" outlineLevel="1">
      <c r="A123" s="41"/>
      <c r="B123" s="364"/>
      <c r="C123" s="356"/>
      <c r="D123" s="356"/>
      <c r="E123" s="362"/>
      <c r="F123" s="362"/>
      <c r="G123" s="356"/>
      <c r="H123" s="364"/>
      <c r="I123" s="364"/>
      <c r="J123" s="366"/>
      <c r="K123" s="366"/>
      <c r="L123" s="366"/>
      <c r="M123" s="366"/>
      <c r="N123" s="366"/>
      <c r="O123" s="366"/>
      <c r="P123" s="366"/>
      <c r="Q123" s="366"/>
      <c r="R123" s="369"/>
      <c r="S123" s="369"/>
      <c r="T123" s="366"/>
      <c r="U123" s="427"/>
      <c r="V123" s="427"/>
      <c r="W123" s="372"/>
      <c r="X123" s="373"/>
      <c r="Y123" s="373"/>
      <c r="Z123" s="374"/>
      <c r="AA123" s="374"/>
      <c r="AB123" s="374"/>
      <c r="AC123" s="374"/>
      <c r="AD123" s="369"/>
      <c r="AE123" s="376"/>
      <c r="AF123" s="376"/>
      <c r="AG123" s="376"/>
      <c r="AH123" s="376"/>
      <c r="AI123" s="375"/>
      <c r="AJ123" s="366"/>
      <c r="AK123" s="366"/>
      <c r="AL123" s="366"/>
      <c r="AM123" s="366"/>
      <c r="AN123" s="366"/>
      <c r="AO123" s="366"/>
      <c r="AP123" s="366"/>
      <c r="AQ123" s="366"/>
      <c r="AR123" s="366"/>
      <c r="AS123" s="366"/>
      <c r="AT123" s="366"/>
      <c r="AU123" s="366"/>
      <c r="AV123" s="366"/>
      <c r="AW123" s="366"/>
      <c r="AX123" s="366"/>
      <c r="AY123" s="366"/>
      <c r="AZ123" s="366"/>
      <c r="BA123" s="366"/>
      <c r="BB123" s="366"/>
      <c r="BC123" s="366"/>
      <c r="BD123" s="366"/>
      <c r="BE123" s="366"/>
      <c r="BF123" s="366"/>
      <c r="BG123" s="366"/>
      <c r="BH123" s="366"/>
      <c r="BI123" s="366"/>
      <c r="BJ123" s="366"/>
      <c r="BK123" s="366"/>
      <c r="BL123" s="366"/>
      <c r="BM123" s="366"/>
      <c r="BN123" s="366"/>
      <c r="BO123" s="366"/>
      <c r="BP123" s="366"/>
      <c r="BQ123" s="366"/>
      <c r="BR123" s="366"/>
      <c r="BS123" s="366"/>
      <c r="BT123" s="366"/>
      <c r="BU123" s="366"/>
      <c r="BV123" s="366"/>
      <c r="BW123" s="366"/>
      <c r="BX123" s="366"/>
      <c r="BY123" s="423"/>
      <c r="BZ123" s="423"/>
      <c r="CI123" s="356"/>
      <c r="CJ123" s="356"/>
      <c r="CK123" s="356"/>
      <c r="CP123" s="356"/>
      <c r="CQ123" s="356"/>
      <c r="CR123" s="356"/>
      <c r="CS123" s="356"/>
      <c r="CT123" s="356"/>
      <c r="CU123" s="356"/>
      <c r="CV123" s="356"/>
      <c r="CW123" s="356"/>
      <c r="CX123" s="356"/>
      <c r="CY123" s="356"/>
      <c r="CZ123" s="356"/>
      <c r="DA123" s="356"/>
      <c r="DB123" s="356"/>
      <c r="DC123" s="356"/>
      <c r="DD123" s="356"/>
      <c r="DE123" s="356"/>
      <c r="DF123" s="356"/>
      <c r="DG123" s="356"/>
      <c r="DH123" s="356"/>
      <c r="DI123" s="356"/>
      <c r="DJ123" s="356"/>
      <c r="DK123" s="356"/>
      <c r="DL123" s="356"/>
      <c r="DM123" s="356"/>
      <c r="DN123" s="356"/>
      <c r="DO123" s="356"/>
      <c r="DP123" s="356"/>
      <c r="DQ123" s="356"/>
    </row>
    <row r="124" spans="1:121" hidden="1" outlineLevel="1">
      <c r="A124" s="41"/>
      <c r="B124" s="364"/>
      <c r="C124" s="356"/>
      <c r="D124" s="356"/>
      <c r="E124" s="362"/>
      <c r="F124" s="362"/>
      <c r="G124" s="356"/>
      <c r="H124" s="364"/>
      <c r="I124" s="364"/>
      <c r="J124" s="366"/>
      <c r="K124" s="366"/>
      <c r="L124" s="366"/>
      <c r="M124" s="366"/>
      <c r="N124" s="366"/>
      <c r="O124" s="366"/>
      <c r="P124" s="366"/>
      <c r="Q124" s="366"/>
      <c r="R124" s="369"/>
      <c r="S124" s="369"/>
      <c r="T124" s="366"/>
      <c r="U124" s="427"/>
      <c r="V124" s="427"/>
      <c r="W124" s="372"/>
      <c r="X124" s="373"/>
      <c r="Y124" s="373"/>
      <c r="Z124" s="374"/>
      <c r="AA124" s="374"/>
      <c r="AB124" s="374"/>
      <c r="AC124" s="374"/>
      <c r="AD124" s="369"/>
      <c r="AE124" s="376"/>
      <c r="AF124" s="376"/>
      <c r="AG124" s="376"/>
      <c r="AH124" s="376"/>
      <c r="AI124" s="375"/>
      <c r="AJ124" s="366"/>
      <c r="AK124" s="366"/>
      <c r="AL124" s="366"/>
      <c r="AM124" s="366"/>
      <c r="AN124" s="366"/>
      <c r="AO124" s="366"/>
      <c r="AP124" s="366"/>
      <c r="AQ124" s="366"/>
      <c r="AR124" s="366"/>
      <c r="AS124" s="366"/>
      <c r="AT124" s="366"/>
      <c r="AU124" s="366"/>
      <c r="AV124" s="366"/>
      <c r="AW124" s="366"/>
      <c r="AX124" s="366"/>
      <c r="AY124" s="366"/>
      <c r="AZ124" s="366"/>
      <c r="BA124" s="366"/>
      <c r="BB124" s="366"/>
      <c r="BC124" s="366"/>
      <c r="BD124" s="366"/>
      <c r="BE124" s="366"/>
      <c r="BF124" s="366"/>
      <c r="BG124" s="366"/>
      <c r="BH124" s="366"/>
      <c r="BI124" s="366"/>
      <c r="BJ124" s="366"/>
      <c r="BK124" s="366"/>
      <c r="BL124" s="366"/>
      <c r="BM124" s="366"/>
      <c r="BN124" s="366"/>
      <c r="BO124" s="366"/>
      <c r="BP124" s="366"/>
      <c r="BQ124" s="366"/>
      <c r="BR124" s="366"/>
      <c r="BS124" s="366"/>
      <c r="BT124" s="366"/>
      <c r="BU124" s="366"/>
      <c r="BV124" s="366"/>
      <c r="BW124" s="366"/>
      <c r="BX124" s="366"/>
      <c r="BY124" s="423"/>
      <c r="BZ124" s="423"/>
      <c r="CI124" s="356"/>
      <c r="CJ124" s="356"/>
      <c r="CK124" s="356"/>
      <c r="CP124" s="356"/>
      <c r="CQ124" s="356"/>
      <c r="CR124" s="356"/>
      <c r="CS124" s="356"/>
      <c r="CT124" s="356"/>
      <c r="CU124" s="356"/>
      <c r="CV124" s="356"/>
      <c r="CW124" s="356"/>
      <c r="CX124" s="356"/>
      <c r="CY124" s="356"/>
      <c r="CZ124" s="356"/>
      <c r="DA124" s="356"/>
      <c r="DB124" s="356"/>
      <c r="DC124" s="356"/>
      <c r="DD124" s="356"/>
      <c r="DE124" s="356"/>
      <c r="DF124" s="356"/>
      <c r="DG124" s="356"/>
      <c r="DH124" s="356"/>
      <c r="DI124" s="356"/>
      <c r="DJ124" s="356"/>
      <c r="DK124" s="356"/>
      <c r="DL124" s="356"/>
      <c r="DM124" s="356"/>
      <c r="DN124" s="356"/>
      <c r="DO124" s="356"/>
      <c r="DP124" s="356"/>
      <c r="DQ124" s="356"/>
    </row>
    <row r="125" spans="1:121" hidden="1" outlineLevel="1">
      <c r="A125" s="41"/>
      <c r="B125" s="364"/>
      <c r="C125" s="356"/>
      <c r="D125" s="356"/>
      <c r="E125" s="362"/>
      <c r="F125" s="362"/>
      <c r="G125" s="356"/>
      <c r="H125" s="364"/>
      <c r="I125" s="364"/>
      <c r="J125" s="366"/>
      <c r="K125" s="366"/>
      <c r="L125" s="366"/>
      <c r="M125" s="366"/>
      <c r="N125" s="366"/>
      <c r="O125" s="366"/>
      <c r="P125" s="366"/>
      <c r="Q125" s="366"/>
      <c r="R125" s="369"/>
      <c r="S125" s="369"/>
      <c r="T125" s="366"/>
      <c r="U125" s="427"/>
      <c r="V125" s="427"/>
      <c r="W125" s="372"/>
      <c r="X125" s="373"/>
      <c r="Y125" s="373"/>
      <c r="Z125" s="374"/>
      <c r="AA125" s="374"/>
      <c r="AB125" s="374"/>
      <c r="AC125" s="374"/>
      <c r="AD125" s="369"/>
      <c r="AE125" s="376"/>
      <c r="AF125" s="376"/>
      <c r="AG125" s="376"/>
      <c r="AH125" s="376"/>
      <c r="AI125" s="375"/>
      <c r="AJ125" s="366"/>
      <c r="AK125" s="366"/>
      <c r="AL125" s="366"/>
      <c r="AM125" s="366"/>
      <c r="AN125" s="366"/>
      <c r="AO125" s="366"/>
      <c r="AP125" s="366"/>
      <c r="AQ125" s="366"/>
      <c r="AR125" s="366"/>
      <c r="AS125" s="366"/>
      <c r="AT125" s="366"/>
      <c r="AU125" s="366"/>
      <c r="AV125" s="366"/>
      <c r="AW125" s="366"/>
      <c r="AX125" s="366"/>
      <c r="AY125" s="366"/>
      <c r="AZ125" s="366"/>
      <c r="BA125" s="366"/>
      <c r="BB125" s="366"/>
      <c r="BC125" s="366"/>
      <c r="BD125" s="366"/>
      <c r="BE125" s="366"/>
      <c r="BF125" s="366"/>
      <c r="BG125" s="366"/>
      <c r="BH125" s="366"/>
      <c r="BI125" s="366"/>
      <c r="BJ125" s="366"/>
      <c r="BK125" s="366"/>
      <c r="BL125" s="366"/>
      <c r="BM125" s="366"/>
      <c r="BN125" s="366"/>
      <c r="BO125" s="366"/>
      <c r="BP125" s="366"/>
      <c r="BQ125" s="366"/>
      <c r="BR125" s="366"/>
      <c r="BS125" s="366"/>
      <c r="BT125" s="366"/>
      <c r="BU125" s="366"/>
      <c r="BV125" s="366"/>
      <c r="BW125" s="366"/>
      <c r="BX125" s="366"/>
      <c r="BY125" s="423"/>
      <c r="BZ125" s="423"/>
      <c r="CI125" s="356"/>
      <c r="CJ125" s="356"/>
      <c r="CK125" s="356"/>
      <c r="CP125" s="356"/>
      <c r="CQ125" s="356"/>
      <c r="CR125" s="356"/>
      <c r="CS125" s="356"/>
      <c r="CT125" s="356"/>
      <c r="CU125" s="356"/>
      <c r="CV125" s="356"/>
      <c r="CW125" s="356"/>
      <c r="CX125" s="356"/>
      <c r="CY125" s="356"/>
      <c r="CZ125" s="356"/>
      <c r="DA125" s="356"/>
      <c r="DB125" s="356"/>
      <c r="DC125" s="356"/>
      <c r="DD125" s="356"/>
      <c r="DE125" s="356"/>
      <c r="DF125" s="356"/>
      <c r="DG125" s="356"/>
      <c r="DH125" s="356"/>
      <c r="DI125" s="356"/>
      <c r="DJ125" s="356"/>
      <c r="DK125" s="356"/>
      <c r="DL125" s="356"/>
      <c r="DM125" s="356"/>
      <c r="DN125" s="356"/>
      <c r="DO125" s="356"/>
      <c r="DP125" s="356"/>
      <c r="DQ125" s="356"/>
    </row>
    <row r="126" spans="1:121" hidden="1" outlineLevel="1">
      <c r="A126" s="41"/>
      <c r="B126" s="364"/>
      <c r="C126" s="356"/>
      <c r="D126" s="356"/>
      <c r="E126" s="362"/>
      <c r="F126" s="362"/>
      <c r="G126" s="356"/>
      <c r="H126" s="364"/>
      <c r="I126" s="364"/>
      <c r="J126" s="366"/>
      <c r="K126" s="366"/>
      <c r="L126" s="366"/>
      <c r="M126" s="366"/>
      <c r="N126" s="366"/>
      <c r="O126" s="366"/>
      <c r="P126" s="366"/>
      <c r="Q126" s="366"/>
      <c r="R126" s="369"/>
      <c r="S126" s="369"/>
      <c r="T126" s="366"/>
      <c r="U126" s="427"/>
      <c r="V126" s="427"/>
      <c r="W126" s="372"/>
      <c r="X126" s="373"/>
      <c r="Y126" s="373"/>
      <c r="Z126" s="374"/>
      <c r="AA126" s="374"/>
      <c r="AB126" s="374"/>
      <c r="AC126" s="374"/>
      <c r="AD126" s="369"/>
      <c r="AE126" s="376"/>
      <c r="AF126" s="376"/>
      <c r="AG126" s="376"/>
      <c r="AH126" s="376"/>
      <c r="AI126" s="375"/>
      <c r="AJ126" s="366"/>
      <c r="AK126" s="366"/>
      <c r="AL126" s="366"/>
      <c r="AM126" s="366"/>
      <c r="AN126" s="366"/>
      <c r="AO126" s="366"/>
      <c r="AP126" s="366"/>
      <c r="AQ126" s="366"/>
      <c r="AR126" s="366"/>
      <c r="AS126" s="366"/>
      <c r="AT126" s="366"/>
      <c r="AU126" s="366"/>
      <c r="AV126" s="366"/>
      <c r="AW126" s="366"/>
      <c r="AX126" s="366"/>
      <c r="AY126" s="366"/>
      <c r="AZ126" s="366"/>
      <c r="BA126" s="366"/>
      <c r="BB126" s="366"/>
      <c r="BC126" s="366"/>
      <c r="BD126" s="366"/>
      <c r="BE126" s="366"/>
      <c r="BF126" s="366"/>
      <c r="BG126" s="366"/>
      <c r="BH126" s="366"/>
      <c r="BI126" s="366"/>
      <c r="BJ126" s="366"/>
      <c r="BK126" s="366"/>
      <c r="BL126" s="366"/>
      <c r="BM126" s="366"/>
      <c r="BN126" s="366"/>
      <c r="BO126" s="366"/>
      <c r="BP126" s="366"/>
      <c r="BQ126" s="366"/>
      <c r="BR126" s="366"/>
      <c r="BS126" s="366"/>
      <c r="BT126" s="366"/>
      <c r="BU126" s="366"/>
      <c r="BV126" s="366"/>
      <c r="BW126" s="366"/>
      <c r="BX126" s="366"/>
      <c r="BY126" s="423"/>
      <c r="BZ126" s="423"/>
      <c r="CI126" s="356"/>
      <c r="CJ126" s="356"/>
      <c r="CK126" s="356"/>
      <c r="CP126" s="356"/>
      <c r="CQ126" s="356"/>
      <c r="CR126" s="356"/>
      <c r="CS126" s="356"/>
      <c r="CT126" s="356"/>
      <c r="CU126" s="356"/>
      <c r="CV126" s="356"/>
      <c r="CW126" s="356"/>
      <c r="CX126" s="356"/>
      <c r="CY126" s="356"/>
      <c r="CZ126" s="356"/>
      <c r="DA126" s="356"/>
      <c r="DB126" s="356"/>
      <c r="DC126" s="356"/>
      <c r="DD126" s="356"/>
      <c r="DE126" s="356"/>
      <c r="DF126" s="356"/>
      <c r="DG126" s="356"/>
      <c r="DH126" s="356"/>
      <c r="DI126" s="356"/>
      <c r="DJ126" s="356"/>
      <c r="DK126" s="356"/>
      <c r="DL126" s="356"/>
      <c r="DM126" s="356"/>
      <c r="DN126" s="356"/>
      <c r="DO126" s="356"/>
      <c r="DP126" s="356"/>
      <c r="DQ126" s="356"/>
    </row>
    <row r="127" spans="1:121" hidden="1" outlineLevel="1">
      <c r="A127" s="41"/>
      <c r="B127" s="364"/>
      <c r="C127" s="356"/>
      <c r="D127" s="356"/>
      <c r="E127" s="362"/>
      <c r="F127" s="362"/>
      <c r="G127" s="356"/>
      <c r="H127" s="364"/>
      <c r="I127" s="364"/>
      <c r="J127" s="366"/>
      <c r="K127" s="366"/>
      <c r="L127" s="366"/>
      <c r="M127" s="366"/>
      <c r="N127" s="366"/>
      <c r="O127" s="366"/>
      <c r="P127" s="366"/>
      <c r="Q127" s="366"/>
      <c r="R127" s="369"/>
      <c r="S127" s="369"/>
      <c r="T127" s="366"/>
      <c r="U127" s="427"/>
      <c r="V127" s="427"/>
      <c r="W127" s="372"/>
      <c r="X127" s="373"/>
      <c r="Y127" s="373"/>
      <c r="Z127" s="374"/>
      <c r="AA127" s="374"/>
      <c r="AB127" s="374"/>
      <c r="AC127" s="374"/>
      <c r="AD127" s="369"/>
      <c r="AE127" s="376"/>
      <c r="AF127" s="376"/>
      <c r="AG127" s="376"/>
      <c r="AH127" s="376"/>
      <c r="AI127" s="375"/>
      <c r="AJ127" s="366"/>
      <c r="AK127" s="366"/>
      <c r="AL127" s="366"/>
      <c r="AM127" s="366"/>
      <c r="AN127" s="366"/>
      <c r="AO127" s="366"/>
      <c r="AP127" s="366"/>
      <c r="AQ127" s="366"/>
      <c r="AR127" s="366"/>
      <c r="AS127" s="366"/>
      <c r="AT127" s="366"/>
      <c r="AU127" s="366"/>
      <c r="AV127" s="366"/>
      <c r="AW127" s="366"/>
      <c r="AX127" s="366"/>
      <c r="AY127" s="366"/>
      <c r="AZ127" s="366"/>
      <c r="BA127" s="366"/>
      <c r="BB127" s="366"/>
      <c r="BC127" s="366"/>
      <c r="BD127" s="366"/>
      <c r="BE127" s="366"/>
      <c r="BF127" s="366"/>
      <c r="BG127" s="366"/>
      <c r="BH127" s="366"/>
      <c r="BI127" s="366"/>
      <c r="BJ127" s="366"/>
      <c r="BK127" s="366"/>
      <c r="BL127" s="366"/>
      <c r="BM127" s="366"/>
      <c r="BN127" s="366"/>
      <c r="BO127" s="366"/>
      <c r="BP127" s="366"/>
      <c r="BQ127" s="366"/>
      <c r="BR127" s="366"/>
      <c r="BS127" s="366"/>
      <c r="BT127" s="366"/>
      <c r="BU127" s="366"/>
      <c r="BV127" s="366"/>
      <c r="BW127" s="366"/>
      <c r="BX127" s="366"/>
      <c r="BY127" s="423"/>
      <c r="BZ127" s="423"/>
      <c r="CI127" s="356"/>
      <c r="CJ127" s="356"/>
      <c r="CK127" s="356"/>
      <c r="CP127" s="356"/>
      <c r="CQ127" s="356"/>
      <c r="CR127" s="356"/>
      <c r="CS127" s="356"/>
      <c r="CT127" s="356"/>
      <c r="CU127" s="356"/>
      <c r="CV127" s="356"/>
      <c r="CW127" s="356"/>
      <c r="CX127" s="356"/>
      <c r="CY127" s="356"/>
      <c r="CZ127" s="356"/>
      <c r="DA127" s="356"/>
      <c r="DB127" s="356"/>
      <c r="DC127" s="356"/>
      <c r="DD127" s="356"/>
      <c r="DE127" s="356"/>
      <c r="DF127" s="356"/>
      <c r="DG127" s="356"/>
      <c r="DH127" s="356"/>
      <c r="DI127" s="356"/>
      <c r="DJ127" s="356"/>
      <c r="DK127" s="356"/>
      <c r="DL127" s="356"/>
      <c r="DM127" s="356"/>
      <c r="DN127" s="356"/>
      <c r="DO127" s="356"/>
      <c r="DP127" s="356"/>
      <c r="DQ127" s="356"/>
    </row>
    <row r="128" spans="1:121" hidden="1" outlineLevel="1">
      <c r="A128" s="41"/>
      <c r="B128" s="364"/>
      <c r="C128" s="356"/>
      <c r="D128" s="356"/>
      <c r="E128" s="362"/>
      <c r="F128" s="362"/>
      <c r="G128" s="356"/>
      <c r="H128" s="364"/>
      <c r="I128" s="364"/>
      <c r="J128" s="366"/>
      <c r="K128" s="366"/>
      <c r="L128" s="366"/>
      <c r="M128" s="366"/>
      <c r="N128" s="366"/>
      <c r="O128" s="366"/>
      <c r="P128" s="366"/>
      <c r="Q128" s="366"/>
      <c r="R128" s="369"/>
      <c r="S128" s="369"/>
      <c r="T128" s="366"/>
      <c r="U128" s="427"/>
      <c r="V128" s="427"/>
      <c r="W128" s="372"/>
      <c r="X128" s="373"/>
      <c r="Y128" s="373"/>
      <c r="Z128" s="374"/>
      <c r="AA128" s="374"/>
      <c r="AB128" s="374"/>
      <c r="AC128" s="374"/>
      <c r="AD128" s="369"/>
      <c r="AE128" s="376"/>
      <c r="AF128" s="376"/>
      <c r="AG128" s="376"/>
      <c r="AH128" s="376"/>
      <c r="AI128" s="375"/>
      <c r="AJ128" s="366"/>
      <c r="AK128" s="366"/>
      <c r="AL128" s="366"/>
      <c r="AM128" s="366"/>
      <c r="AN128" s="366"/>
      <c r="AO128" s="366"/>
      <c r="AP128" s="366"/>
      <c r="AQ128" s="366"/>
      <c r="AR128" s="366"/>
      <c r="AS128" s="366"/>
      <c r="AT128" s="366"/>
      <c r="AU128" s="366"/>
      <c r="AV128" s="366"/>
      <c r="AW128" s="366"/>
      <c r="AX128" s="366"/>
      <c r="AY128" s="366"/>
      <c r="AZ128" s="366"/>
      <c r="BA128" s="366"/>
      <c r="BB128" s="366"/>
      <c r="BC128" s="366"/>
      <c r="BD128" s="366"/>
      <c r="BE128" s="366"/>
      <c r="BF128" s="366"/>
      <c r="BG128" s="366"/>
      <c r="BH128" s="366"/>
      <c r="BI128" s="366"/>
      <c r="BJ128" s="366"/>
      <c r="BK128" s="366"/>
      <c r="BL128" s="366"/>
      <c r="BM128" s="366"/>
      <c r="BN128" s="366"/>
      <c r="BO128" s="366"/>
      <c r="BP128" s="366"/>
      <c r="BQ128" s="366"/>
      <c r="BR128" s="366"/>
      <c r="BS128" s="366"/>
      <c r="BT128" s="366"/>
      <c r="BU128" s="366"/>
      <c r="BV128" s="366"/>
      <c r="BW128" s="366"/>
      <c r="BX128" s="366"/>
      <c r="BY128" s="423"/>
      <c r="BZ128" s="423"/>
      <c r="CI128" s="356"/>
      <c r="CJ128" s="356"/>
      <c r="CK128" s="356"/>
      <c r="CP128" s="356"/>
      <c r="CQ128" s="356"/>
      <c r="CR128" s="356"/>
      <c r="CS128" s="356"/>
      <c r="CT128" s="356"/>
      <c r="CU128" s="356"/>
      <c r="CV128" s="356"/>
      <c r="CW128" s="356"/>
      <c r="CX128" s="356"/>
      <c r="CY128" s="356"/>
      <c r="CZ128" s="356"/>
      <c r="DA128" s="356"/>
      <c r="DB128" s="356"/>
      <c r="DC128" s="356"/>
      <c r="DD128" s="356"/>
      <c r="DE128" s="356"/>
      <c r="DF128" s="356"/>
      <c r="DG128" s="356"/>
      <c r="DH128" s="356"/>
      <c r="DI128" s="356"/>
      <c r="DJ128" s="356"/>
      <c r="DK128" s="356"/>
      <c r="DL128" s="356"/>
      <c r="DM128" s="356"/>
      <c r="DN128" s="356"/>
      <c r="DO128" s="356"/>
      <c r="DP128" s="356"/>
      <c r="DQ128" s="356"/>
    </row>
    <row r="129" spans="1:121" hidden="1" outlineLevel="1">
      <c r="A129" s="41"/>
      <c r="B129" s="364"/>
      <c r="C129" s="356"/>
      <c r="D129" s="356"/>
      <c r="E129" s="362"/>
      <c r="F129" s="362"/>
      <c r="G129" s="356"/>
      <c r="H129" s="364"/>
      <c r="I129" s="364"/>
      <c r="J129" s="366"/>
      <c r="K129" s="366"/>
      <c r="L129" s="366"/>
      <c r="M129" s="366"/>
      <c r="N129" s="366"/>
      <c r="O129" s="366"/>
      <c r="P129" s="366"/>
      <c r="Q129" s="366"/>
      <c r="R129" s="369"/>
      <c r="S129" s="369"/>
      <c r="T129" s="366"/>
      <c r="U129" s="427"/>
      <c r="V129" s="427"/>
      <c r="W129" s="372"/>
      <c r="X129" s="373"/>
      <c r="Y129" s="373"/>
      <c r="Z129" s="374"/>
      <c r="AA129" s="374"/>
      <c r="AB129" s="374"/>
      <c r="AC129" s="374"/>
      <c r="AD129" s="369"/>
      <c r="AE129" s="376"/>
      <c r="AF129" s="376"/>
      <c r="AG129" s="376"/>
      <c r="AH129" s="376"/>
      <c r="AI129" s="375"/>
      <c r="AJ129" s="366"/>
      <c r="AK129" s="366"/>
      <c r="AL129" s="366"/>
      <c r="AM129" s="366"/>
      <c r="AN129" s="366"/>
      <c r="AO129" s="366"/>
      <c r="AP129" s="366"/>
      <c r="AQ129" s="366"/>
      <c r="AR129" s="366"/>
      <c r="AS129" s="366"/>
      <c r="AT129" s="366"/>
      <c r="AU129" s="366"/>
      <c r="AV129" s="366"/>
      <c r="AW129" s="366"/>
      <c r="AX129" s="366"/>
      <c r="AY129" s="366"/>
      <c r="AZ129" s="366"/>
      <c r="BA129" s="366"/>
      <c r="BB129" s="366"/>
      <c r="BC129" s="366"/>
      <c r="BD129" s="366"/>
      <c r="BE129" s="366"/>
      <c r="BF129" s="366"/>
      <c r="BG129" s="366"/>
      <c r="BH129" s="366"/>
      <c r="BI129" s="366"/>
      <c r="BJ129" s="366"/>
      <c r="BK129" s="366"/>
      <c r="BL129" s="366"/>
      <c r="BM129" s="366"/>
      <c r="BN129" s="366"/>
      <c r="BO129" s="366"/>
      <c r="BP129" s="366"/>
      <c r="BQ129" s="366"/>
      <c r="BR129" s="366"/>
      <c r="BS129" s="366"/>
      <c r="BT129" s="366"/>
      <c r="BU129" s="366"/>
      <c r="BV129" s="366"/>
      <c r="BW129" s="366"/>
      <c r="BX129" s="366"/>
      <c r="BY129" s="423"/>
      <c r="BZ129" s="423"/>
      <c r="CI129" s="356"/>
      <c r="CJ129" s="356"/>
      <c r="CK129" s="356"/>
      <c r="CP129" s="356"/>
      <c r="CQ129" s="356"/>
      <c r="CR129" s="356"/>
      <c r="CS129" s="356"/>
      <c r="CT129" s="356"/>
      <c r="CU129" s="356"/>
      <c r="CV129" s="356"/>
      <c r="CW129" s="356"/>
      <c r="CX129" s="356"/>
      <c r="CY129" s="356"/>
      <c r="CZ129" s="356"/>
      <c r="DA129" s="356"/>
      <c r="DB129" s="356"/>
      <c r="DC129" s="356"/>
      <c r="DD129" s="356"/>
      <c r="DE129" s="356"/>
      <c r="DF129" s="356"/>
      <c r="DG129" s="356"/>
      <c r="DH129" s="356"/>
      <c r="DI129" s="356"/>
      <c r="DJ129" s="356"/>
      <c r="DK129" s="356"/>
      <c r="DL129" s="356"/>
      <c r="DM129" s="356"/>
      <c r="DN129" s="356"/>
      <c r="DO129" s="356"/>
      <c r="DP129" s="356"/>
      <c r="DQ129" s="356"/>
    </row>
    <row r="130" spans="1:121" hidden="1" outlineLevel="1">
      <c r="A130" s="41"/>
      <c r="B130" s="364"/>
      <c r="C130" s="356"/>
      <c r="D130" s="356"/>
      <c r="E130" s="362"/>
      <c r="F130" s="362"/>
      <c r="G130" s="356"/>
      <c r="H130" s="364"/>
      <c r="I130" s="364"/>
      <c r="J130" s="366"/>
      <c r="K130" s="366"/>
      <c r="L130" s="366"/>
      <c r="M130" s="366"/>
      <c r="N130" s="366"/>
      <c r="O130" s="366"/>
      <c r="P130" s="366"/>
      <c r="Q130" s="366"/>
      <c r="R130" s="369"/>
      <c r="S130" s="369"/>
      <c r="T130" s="366"/>
      <c r="U130" s="427"/>
      <c r="V130" s="427"/>
      <c r="W130" s="372"/>
      <c r="X130" s="373"/>
      <c r="Y130" s="373"/>
      <c r="Z130" s="374"/>
      <c r="AA130" s="374"/>
      <c r="AB130" s="374"/>
      <c r="AC130" s="374"/>
      <c r="AD130" s="369"/>
      <c r="AE130" s="376"/>
      <c r="AF130" s="376"/>
      <c r="AG130" s="376"/>
      <c r="AH130" s="376"/>
      <c r="AI130" s="375"/>
      <c r="AJ130" s="366"/>
      <c r="AK130" s="366"/>
      <c r="AL130" s="366"/>
      <c r="AM130" s="366"/>
      <c r="AN130" s="366"/>
      <c r="AO130" s="366"/>
      <c r="AP130" s="366"/>
      <c r="AQ130" s="366"/>
      <c r="AR130" s="366"/>
      <c r="AS130" s="366"/>
      <c r="AT130" s="366"/>
      <c r="AU130" s="366"/>
      <c r="AV130" s="366"/>
      <c r="AW130" s="366"/>
      <c r="AX130" s="366"/>
      <c r="AY130" s="366"/>
      <c r="AZ130" s="366"/>
      <c r="BA130" s="366"/>
      <c r="BB130" s="366"/>
      <c r="BC130" s="366"/>
      <c r="BD130" s="366"/>
      <c r="BE130" s="366"/>
      <c r="BF130" s="366"/>
      <c r="BG130" s="366"/>
      <c r="BH130" s="366"/>
      <c r="BI130" s="366"/>
      <c r="BJ130" s="366"/>
      <c r="BK130" s="366"/>
      <c r="BL130" s="366"/>
      <c r="BM130" s="366"/>
      <c r="BN130" s="366"/>
      <c r="BO130" s="366"/>
      <c r="BP130" s="366"/>
      <c r="BQ130" s="366"/>
      <c r="BR130" s="366"/>
      <c r="BS130" s="366"/>
      <c r="BT130" s="366"/>
      <c r="BU130" s="366"/>
      <c r="BV130" s="366"/>
      <c r="BW130" s="366"/>
      <c r="BX130" s="366"/>
      <c r="BY130" s="423"/>
      <c r="BZ130" s="423"/>
      <c r="CI130" s="356"/>
      <c r="CJ130" s="356"/>
      <c r="CK130" s="356"/>
      <c r="CP130" s="356"/>
      <c r="CQ130" s="356"/>
      <c r="CR130" s="356"/>
      <c r="CS130" s="356"/>
      <c r="CT130" s="356"/>
      <c r="CU130" s="356"/>
      <c r="CV130" s="356"/>
      <c r="CW130" s="356"/>
      <c r="CX130" s="356"/>
      <c r="CY130" s="356"/>
      <c r="CZ130" s="356"/>
      <c r="DA130" s="356"/>
      <c r="DB130" s="356"/>
      <c r="DC130" s="356"/>
      <c r="DD130" s="356"/>
      <c r="DE130" s="356"/>
      <c r="DF130" s="356"/>
      <c r="DG130" s="356"/>
      <c r="DH130" s="356"/>
      <c r="DI130" s="356"/>
      <c r="DJ130" s="356"/>
      <c r="DK130" s="356"/>
      <c r="DL130" s="356"/>
      <c r="DM130" s="356"/>
      <c r="DN130" s="356"/>
      <c r="DO130" s="356"/>
      <c r="DP130" s="356"/>
      <c r="DQ130" s="356"/>
    </row>
    <row r="131" spans="1:121" hidden="1" outlineLevel="1">
      <c r="A131" s="41"/>
      <c r="B131" s="364"/>
      <c r="C131" s="356"/>
      <c r="D131" s="356"/>
      <c r="E131" s="362"/>
      <c r="F131" s="362"/>
      <c r="G131" s="356"/>
      <c r="H131" s="364"/>
      <c r="I131" s="364"/>
      <c r="J131" s="366"/>
      <c r="K131" s="366"/>
      <c r="L131" s="366"/>
      <c r="M131" s="366"/>
      <c r="N131" s="366"/>
      <c r="O131" s="366"/>
      <c r="P131" s="366"/>
      <c r="Q131" s="366"/>
      <c r="R131" s="369"/>
      <c r="S131" s="369"/>
      <c r="T131" s="366"/>
      <c r="U131" s="427"/>
      <c r="V131" s="427"/>
      <c r="W131" s="372"/>
      <c r="X131" s="373"/>
      <c r="Y131" s="373"/>
      <c r="Z131" s="374"/>
      <c r="AA131" s="374"/>
      <c r="AB131" s="374"/>
      <c r="AC131" s="374"/>
      <c r="AD131" s="369"/>
      <c r="AE131" s="376"/>
      <c r="AF131" s="376"/>
      <c r="AG131" s="376"/>
      <c r="AH131" s="376"/>
      <c r="AI131" s="375"/>
      <c r="AJ131" s="366"/>
      <c r="AK131" s="366"/>
      <c r="AL131" s="366"/>
      <c r="AM131" s="366"/>
      <c r="AN131" s="366"/>
      <c r="AO131" s="366"/>
      <c r="AP131" s="366"/>
      <c r="AQ131" s="366"/>
      <c r="AR131" s="366"/>
      <c r="AS131" s="366"/>
      <c r="AT131" s="366"/>
      <c r="AU131" s="366"/>
      <c r="AV131" s="366"/>
      <c r="AW131" s="366"/>
      <c r="AX131" s="366"/>
      <c r="AY131" s="366"/>
      <c r="AZ131" s="366"/>
      <c r="BA131" s="366"/>
      <c r="BB131" s="366"/>
      <c r="BC131" s="366"/>
      <c r="BD131" s="366"/>
      <c r="BE131" s="366"/>
      <c r="BF131" s="366"/>
      <c r="BG131" s="366"/>
      <c r="BH131" s="366"/>
      <c r="BI131" s="366"/>
      <c r="BJ131" s="366"/>
      <c r="BK131" s="366"/>
      <c r="BL131" s="366"/>
      <c r="BM131" s="366"/>
      <c r="BN131" s="366"/>
      <c r="BO131" s="366"/>
      <c r="BP131" s="366"/>
      <c r="BQ131" s="366"/>
      <c r="BR131" s="366"/>
      <c r="BS131" s="366"/>
      <c r="BT131" s="366"/>
      <c r="BU131" s="366"/>
      <c r="BV131" s="366"/>
      <c r="BW131" s="366"/>
      <c r="BX131" s="366"/>
      <c r="BY131" s="423"/>
      <c r="BZ131" s="423"/>
      <c r="CI131" s="356"/>
      <c r="CJ131" s="356"/>
      <c r="CK131" s="356"/>
      <c r="CP131" s="356"/>
      <c r="CQ131" s="356"/>
      <c r="CR131" s="356"/>
      <c r="CS131" s="356"/>
      <c r="CT131" s="356"/>
      <c r="CU131" s="356"/>
      <c r="CV131" s="356"/>
      <c r="CW131" s="356"/>
      <c r="CX131" s="356"/>
      <c r="CY131" s="356"/>
      <c r="CZ131" s="356"/>
      <c r="DA131" s="356"/>
      <c r="DB131" s="356"/>
      <c r="DC131" s="356"/>
      <c r="DD131" s="356"/>
      <c r="DE131" s="356"/>
      <c r="DF131" s="356"/>
      <c r="DG131" s="356"/>
      <c r="DH131" s="356"/>
      <c r="DI131" s="356"/>
      <c r="DJ131" s="356"/>
      <c r="DK131" s="356"/>
      <c r="DL131" s="356"/>
      <c r="DM131" s="356"/>
      <c r="DN131" s="356"/>
      <c r="DO131" s="356"/>
      <c r="DP131" s="356"/>
      <c r="DQ131" s="356"/>
    </row>
    <row r="132" spans="1:121" hidden="1" outlineLevel="1">
      <c r="A132" s="41"/>
      <c r="B132" s="364"/>
      <c r="C132" s="356"/>
      <c r="D132" s="356"/>
      <c r="E132" s="362"/>
      <c r="F132" s="362"/>
      <c r="G132" s="356"/>
      <c r="H132" s="364"/>
      <c r="I132" s="364"/>
      <c r="J132" s="366"/>
      <c r="K132" s="366"/>
      <c r="L132" s="366"/>
      <c r="M132" s="366"/>
      <c r="N132" s="366"/>
      <c r="O132" s="366"/>
      <c r="P132" s="366"/>
      <c r="Q132" s="366"/>
      <c r="R132" s="369"/>
      <c r="S132" s="369"/>
      <c r="T132" s="366"/>
      <c r="U132" s="427"/>
      <c r="V132" s="427"/>
      <c r="W132" s="372"/>
      <c r="X132" s="373"/>
      <c r="Y132" s="373"/>
      <c r="Z132" s="374"/>
      <c r="AA132" s="374"/>
      <c r="AB132" s="374"/>
      <c r="AC132" s="374"/>
      <c r="AD132" s="369"/>
      <c r="AE132" s="376"/>
      <c r="AF132" s="376"/>
      <c r="AG132" s="376"/>
      <c r="AH132" s="376"/>
      <c r="AI132" s="375"/>
      <c r="AJ132" s="366"/>
      <c r="AK132" s="366"/>
      <c r="AL132" s="366"/>
      <c r="AM132" s="366"/>
      <c r="AN132" s="366"/>
      <c r="AO132" s="366"/>
      <c r="AP132" s="366"/>
      <c r="AQ132" s="366"/>
      <c r="AR132" s="366"/>
      <c r="AS132" s="366"/>
      <c r="AT132" s="366"/>
      <c r="AU132" s="366"/>
      <c r="AV132" s="366"/>
      <c r="AW132" s="366"/>
      <c r="AX132" s="366"/>
      <c r="AY132" s="366"/>
      <c r="AZ132" s="366"/>
      <c r="BA132" s="366"/>
      <c r="BB132" s="366"/>
      <c r="BC132" s="366"/>
      <c r="BD132" s="366"/>
      <c r="BE132" s="366"/>
      <c r="BF132" s="366"/>
      <c r="BG132" s="366"/>
      <c r="BH132" s="366"/>
      <c r="BI132" s="366"/>
      <c r="BJ132" s="366"/>
      <c r="BK132" s="366"/>
      <c r="BL132" s="366"/>
      <c r="BM132" s="366"/>
      <c r="BN132" s="366"/>
      <c r="BO132" s="366"/>
      <c r="BP132" s="366"/>
      <c r="BQ132" s="366"/>
      <c r="BR132" s="366"/>
      <c r="BS132" s="366"/>
      <c r="BT132" s="366"/>
      <c r="BU132" s="366"/>
      <c r="BV132" s="366"/>
      <c r="BW132" s="366"/>
      <c r="BX132" s="366"/>
      <c r="BY132" s="423"/>
      <c r="BZ132" s="423"/>
      <c r="CI132" s="356"/>
      <c r="CJ132" s="356"/>
      <c r="CK132" s="356"/>
      <c r="CP132" s="356"/>
      <c r="CQ132" s="356"/>
      <c r="CR132" s="356"/>
      <c r="CS132" s="356"/>
      <c r="CT132" s="356"/>
      <c r="CU132" s="356"/>
      <c r="CV132" s="356"/>
      <c r="CW132" s="356"/>
      <c r="CX132" s="356"/>
      <c r="CY132" s="356"/>
      <c r="CZ132" s="356"/>
      <c r="DA132" s="356"/>
      <c r="DB132" s="356"/>
      <c r="DC132" s="356"/>
      <c r="DD132" s="356"/>
      <c r="DE132" s="356"/>
      <c r="DF132" s="356"/>
      <c r="DG132" s="356"/>
      <c r="DH132" s="356"/>
      <c r="DI132" s="356"/>
      <c r="DJ132" s="356"/>
      <c r="DK132" s="356"/>
      <c r="DL132" s="356"/>
      <c r="DM132" s="356"/>
      <c r="DN132" s="356"/>
      <c r="DO132" s="356"/>
      <c r="DP132" s="356"/>
      <c r="DQ132" s="356"/>
    </row>
    <row r="133" spans="1:121" hidden="1" outlineLevel="1">
      <c r="A133" s="41"/>
      <c r="B133" s="364"/>
      <c r="C133" s="356"/>
      <c r="D133" s="356"/>
      <c r="E133" s="362"/>
      <c r="F133" s="362"/>
      <c r="G133" s="428"/>
      <c r="H133" s="364"/>
      <c r="I133" s="364"/>
      <c r="J133" s="389"/>
      <c r="K133" s="389"/>
      <c r="L133" s="366"/>
      <c r="M133" s="366"/>
      <c r="N133" s="389"/>
      <c r="O133" s="389"/>
      <c r="P133" s="389"/>
      <c r="Q133" s="389"/>
      <c r="R133" s="369"/>
      <c r="S133" s="369"/>
      <c r="T133" s="389"/>
      <c r="U133" s="369"/>
      <c r="V133" s="369"/>
      <c r="W133" s="372"/>
      <c r="X133" s="373"/>
      <c r="Y133" s="373"/>
      <c r="Z133" s="374"/>
      <c r="AA133" s="374"/>
      <c r="AB133" s="374"/>
      <c r="AC133" s="374"/>
      <c r="AD133" s="369"/>
      <c r="AE133" s="369"/>
      <c r="AF133" s="369"/>
      <c r="AG133" s="369"/>
      <c r="AH133" s="369"/>
      <c r="AI133" s="375"/>
      <c r="AJ133" s="389"/>
      <c r="AK133" s="389"/>
      <c r="AL133" s="389"/>
      <c r="AM133" s="389"/>
      <c r="AN133" s="389"/>
      <c r="AO133" s="366"/>
      <c r="AP133" s="366"/>
      <c r="AQ133" s="366"/>
      <c r="AR133" s="366"/>
      <c r="AS133" s="366"/>
      <c r="AT133" s="366"/>
      <c r="AU133" s="366"/>
      <c r="AV133" s="366"/>
      <c r="AW133" s="366"/>
      <c r="AX133" s="366"/>
      <c r="AY133" s="366"/>
      <c r="AZ133" s="366"/>
      <c r="BA133" s="366"/>
      <c r="BB133" s="366"/>
      <c r="BC133" s="366"/>
      <c r="BD133" s="366"/>
      <c r="BE133" s="366"/>
      <c r="BF133" s="366"/>
      <c r="BG133" s="366"/>
      <c r="BH133" s="366"/>
      <c r="BI133" s="366"/>
      <c r="BJ133" s="366"/>
      <c r="BK133" s="366"/>
      <c r="BL133" s="366"/>
      <c r="BM133" s="366"/>
      <c r="BN133" s="366"/>
      <c r="BO133" s="366"/>
      <c r="BP133" s="366"/>
      <c r="BQ133" s="366"/>
      <c r="BR133" s="366"/>
      <c r="BS133" s="366"/>
      <c r="BT133" s="366"/>
      <c r="BU133" s="366"/>
      <c r="BV133" s="366"/>
      <c r="BW133" s="366"/>
      <c r="BX133" s="366"/>
      <c r="BY133" s="423"/>
      <c r="BZ133" s="423"/>
      <c r="CI133" s="356"/>
      <c r="CJ133" s="356"/>
      <c r="CK133" s="356"/>
      <c r="CP133" s="356"/>
      <c r="CQ133" s="356"/>
      <c r="CR133" s="356"/>
      <c r="CS133" s="356"/>
      <c r="CT133" s="356"/>
      <c r="CU133" s="356"/>
      <c r="CV133" s="356"/>
      <c r="CW133" s="356"/>
      <c r="CX133" s="356"/>
      <c r="CY133" s="356"/>
      <c r="CZ133" s="356"/>
      <c r="DA133" s="356"/>
      <c r="DB133" s="356"/>
      <c r="DC133" s="356"/>
      <c r="DD133" s="356"/>
      <c r="DE133" s="356"/>
      <c r="DF133" s="356"/>
      <c r="DG133" s="356"/>
      <c r="DH133" s="356"/>
      <c r="DI133" s="356"/>
      <c r="DJ133" s="356"/>
      <c r="DK133" s="356"/>
      <c r="DL133" s="356"/>
      <c r="DM133" s="356"/>
      <c r="DN133" s="356"/>
      <c r="DO133" s="356"/>
      <c r="DP133" s="356"/>
      <c r="DQ133" s="356"/>
    </row>
    <row r="134" spans="1:121" hidden="1" outlineLevel="1">
      <c r="A134" s="41"/>
      <c r="B134" s="364"/>
      <c r="C134" s="356"/>
      <c r="D134" s="356"/>
      <c r="E134" s="362"/>
      <c r="F134" s="362"/>
      <c r="G134" s="356"/>
      <c r="H134" s="364"/>
      <c r="I134" s="364"/>
      <c r="J134" s="366"/>
      <c r="K134" s="366"/>
      <c r="L134" s="366"/>
      <c r="M134" s="366"/>
      <c r="N134" s="366"/>
      <c r="O134" s="366"/>
      <c r="P134" s="366"/>
      <c r="Q134" s="366"/>
      <c r="R134" s="369"/>
      <c r="S134" s="369"/>
      <c r="T134" s="366"/>
      <c r="U134" s="427"/>
      <c r="V134" s="427"/>
      <c r="W134" s="372"/>
      <c r="X134" s="373"/>
      <c r="Y134" s="373"/>
      <c r="Z134" s="374"/>
      <c r="AA134" s="374"/>
      <c r="AB134" s="374"/>
      <c r="AC134" s="374"/>
      <c r="AD134" s="369"/>
      <c r="AE134" s="376"/>
      <c r="AF134" s="376"/>
      <c r="AG134" s="376"/>
      <c r="AH134" s="376"/>
      <c r="AI134" s="375"/>
      <c r="AJ134" s="366"/>
      <c r="AK134" s="366"/>
      <c r="AL134" s="366"/>
      <c r="AM134" s="366"/>
      <c r="AN134" s="366"/>
      <c r="AO134" s="366"/>
      <c r="AP134" s="366"/>
      <c r="AQ134" s="366"/>
      <c r="AR134" s="366"/>
      <c r="AS134" s="366"/>
      <c r="AT134" s="366"/>
      <c r="AU134" s="366"/>
      <c r="AV134" s="366"/>
      <c r="AW134" s="366"/>
      <c r="AX134" s="366"/>
      <c r="AY134" s="366"/>
      <c r="AZ134" s="366"/>
      <c r="BA134" s="366"/>
      <c r="BB134" s="366"/>
      <c r="BC134" s="366"/>
      <c r="BD134" s="366"/>
      <c r="BE134" s="366"/>
      <c r="BF134" s="366"/>
      <c r="BG134" s="366"/>
      <c r="BH134" s="366"/>
      <c r="BI134" s="366"/>
      <c r="BJ134" s="366"/>
      <c r="BK134" s="366"/>
      <c r="BL134" s="366"/>
      <c r="BM134" s="366"/>
      <c r="BN134" s="366"/>
      <c r="BO134" s="366"/>
      <c r="BP134" s="366"/>
      <c r="BQ134" s="366"/>
      <c r="BR134" s="366"/>
      <c r="BS134" s="366"/>
      <c r="BT134" s="366"/>
      <c r="BU134" s="366"/>
      <c r="BV134" s="366"/>
      <c r="BW134" s="366"/>
      <c r="BX134" s="366"/>
      <c r="BY134" s="423"/>
      <c r="BZ134" s="423"/>
      <c r="CI134" s="356"/>
      <c r="CJ134" s="356"/>
      <c r="CK134" s="356"/>
      <c r="CP134" s="356"/>
      <c r="CQ134" s="356"/>
      <c r="CR134" s="356"/>
      <c r="CS134" s="356"/>
      <c r="CT134" s="356"/>
      <c r="CU134" s="356"/>
      <c r="CV134" s="356"/>
      <c r="CW134" s="356"/>
      <c r="CX134" s="356"/>
      <c r="CY134" s="356"/>
      <c r="CZ134" s="356"/>
      <c r="DA134" s="356"/>
      <c r="DB134" s="356"/>
      <c r="DC134" s="356"/>
      <c r="DD134" s="356"/>
      <c r="DE134" s="356"/>
      <c r="DF134" s="356"/>
      <c r="DG134" s="356"/>
      <c r="DH134" s="356"/>
      <c r="DI134" s="356"/>
      <c r="DJ134" s="356"/>
      <c r="DK134" s="356"/>
      <c r="DL134" s="356"/>
      <c r="DM134" s="356"/>
      <c r="DN134" s="356"/>
      <c r="DO134" s="356"/>
      <c r="DP134" s="356"/>
      <c r="DQ134" s="356"/>
    </row>
    <row r="135" spans="1:121" hidden="1" outlineLevel="1">
      <c r="A135" s="41"/>
      <c r="B135" s="364"/>
      <c r="C135" s="356"/>
      <c r="D135" s="356"/>
      <c r="E135" s="362"/>
      <c r="F135" s="362"/>
      <c r="G135" s="356"/>
      <c r="H135" s="364"/>
      <c r="I135" s="364"/>
      <c r="J135" s="366"/>
      <c r="K135" s="366"/>
      <c r="L135" s="366"/>
      <c r="M135" s="366"/>
      <c r="N135" s="366"/>
      <c r="O135" s="366"/>
      <c r="P135" s="366"/>
      <c r="Q135" s="366"/>
      <c r="R135" s="369"/>
      <c r="S135" s="369"/>
      <c r="T135" s="366"/>
      <c r="U135" s="427"/>
      <c r="V135" s="427"/>
      <c r="W135" s="372"/>
      <c r="X135" s="373"/>
      <c r="Y135" s="373"/>
      <c r="Z135" s="374"/>
      <c r="AA135" s="374"/>
      <c r="AB135" s="374"/>
      <c r="AC135" s="374"/>
      <c r="AD135" s="369"/>
      <c r="AE135" s="376"/>
      <c r="AF135" s="376"/>
      <c r="AG135" s="376"/>
      <c r="AH135" s="376"/>
      <c r="AI135" s="375"/>
      <c r="AJ135" s="366"/>
      <c r="AK135" s="366"/>
      <c r="AL135" s="366"/>
      <c r="AM135" s="366"/>
      <c r="AN135" s="366"/>
      <c r="AO135" s="366"/>
      <c r="AP135" s="366"/>
      <c r="AQ135" s="366"/>
      <c r="AR135" s="366"/>
      <c r="AS135" s="366"/>
      <c r="AT135" s="366"/>
      <c r="AU135" s="366"/>
      <c r="AV135" s="366"/>
      <c r="AW135" s="366"/>
      <c r="AX135" s="366"/>
      <c r="AY135" s="366"/>
      <c r="AZ135" s="366"/>
      <c r="BA135" s="366"/>
      <c r="BB135" s="366"/>
      <c r="BC135" s="366"/>
      <c r="BD135" s="366"/>
      <c r="BE135" s="366"/>
      <c r="BF135" s="366"/>
      <c r="BG135" s="366"/>
      <c r="BH135" s="366"/>
      <c r="BI135" s="366"/>
      <c r="BJ135" s="366"/>
      <c r="BK135" s="366"/>
      <c r="BL135" s="366"/>
      <c r="BM135" s="366"/>
      <c r="BN135" s="366"/>
      <c r="BO135" s="366"/>
      <c r="BP135" s="366"/>
      <c r="BQ135" s="366"/>
      <c r="BR135" s="366"/>
      <c r="BS135" s="366"/>
      <c r="BT135" s="366"/>
      <c r="BU135" s="366"/>
      <c r="BV135" s="366"/>
      <c r="BW135" s="366"/>
      <c r="BX135" s="366"/>
      <c r="BY135" s="423"/>
      <c r="BZ135" s="423"/>
      <c r="CI135" s="356"/>
      <c r="CJ135" s="356"/>
      <c r="CK135" s="356"/>
      <c r="CP135" s="356"/>
      <c r="CQ135" s="356"/>
      <c r="CR135" s="356"/>
      <c r="CS135" s="356"/>
      <c r="CT135" s="356"/>
      <c r="CU135" s="356"/>
      <c r="CV135" s="356"/>
      <c r="CW135" s="356"/>
      <c r="CX135" s="356"/>
      <c r="CY135" s="356"/>
      <c r="CZ135" s="356"/>
      <c r="DA135" s="356"/>
      <c r="DB135" s="356"/>
      <c r="DC135" s="356"/>
      <c r="DD135" s="356"/>
      <c r="DE135" s="356"/>
      <c r="DF135" s="356"/>
      <c r="DG135" s="356"/>
      <c r="DH135" s="356"/>
      <c r="DI135" s="356"/>
      <c r="DJ135" s="356"/>
      <c r="DK135" s="356"/>
      <c r="DL135" s="356"/>
      <c r="DM135" s="356"/>
      <c r="DN135" s="356"/>
      <c r="DO135" s="356"/>
      <c r="DP135" s="356"/>
      <c r="DQ135" s="356"/>
    </row>
    <row r="136" spans="1:121" hidden="1" outlineLevel="1">
      <c r="A136" s="41"/>
      <c r="B136" s="364"/>
      <c r="C136" s="356"/>
      <c r="D136" s="356"/>
      <c r="E136" s="362"/>
      <c r="F136" s="362"/>
      <c r="G136" s="356"/>
      <c r="H136" s="364"/>
      <c r="I136" s="364"/>
      <c r="J136" s="366"/>
      <c r="K136" s="366"/>
      <c r="L136" s="366"/>
      <c r="M136" s="366"/>
      <c r="N136" s="366"/>
      <c r="O136" s="366"/>
      <c r="P136" s="366"/>
      <c r="Q136" s="366"/>
      <c r="R136" s="369"/>
      <c r="S136" s="369"/>
      <c r="T136" s="366"/>
      <c r="U136" s="427"/>
      <c r="V136" s="427"/>
      <c r="W136" s="372"/>
      <c r="X136" s="373"/>
      <c r="Y136" s="373"/>
      <c r="Z136" s="374"/>
      <c r="AA136" s="374"/>
      <c r="AB136" s="374"/>
      <c r="AC136" s="374"/>
      <c r="AD136" s="369"/>
      <c r="AE136" s="376"/>
      <c r="AF136" s="376"/>
      <c r="AG136" s="376"/>
      <c r="AH136" s="376"/>
      <c r="AI136" s="375"/>
      <c r="AJ136" s="366"/>
      <c r="AK136" s="366"/>
      <c r="AL136" s="366"/>
      <c r="AM136" s="366"/>
      <c r="AN136" s="366"/>
      <c r="AO136" s="366"/>
      <c r="AP136" s="366"/>
      <c r="AQ136" s="366"/>
      <c r="AR136" s="366"/>
      <c r="AS136" s="366"/>
      <c r="AT136" s="366"/>
      <c r="AU136" s="366"/>
      <c r="AV136" s="366"/>
      <c r="AW136" s="366"/>
      <c r="AX136" s="366"/>
      <c r="AY136" s="366"/>
      <c r="AZ136" s="366"/>
      <c r="BA136" s="366"/>
      <c r="BB136" s="366"/>
      <c r="BC136" s="366"/>
      <c r="BD136" s="366"/>
      <c r="BE136" s="366"/>
      <c r="BF136" s="366"/>
      <c r="BG136" s="366"/>
      <c r="BH136" s="366"/>
      <c r="BI136" s="366"/>
      <c r="BJ136" s="366"/>
      <c r="BK136" s="366"/>
      <c r="BL136" s="366"/>
      <c r="BM136" s="366"/>
      <c r="BN136" s="366"/>
      <c r="BO136" s="366"/>
      <c r="BP136" s="366"/>
      <c r="BQ136" s="366"/>
      <c r="BR136" s="366"/>
      <c r="BS136" s="366"/>
      <c r="BT136" s="366"/>
      <c r="BU136" s="366"/>
      <c r="BV136" s="366"/>
      <c r="BW136" s="366"/>
      <c r="BX136" s="366"/>
      <c r="BY136" s="423"/>
      <c r="BZ136" s="423"/>
      <c r="CI136" s="356"/>
      <c r="CJ136" s="356"/>
      <c r="CK136" s="356"/>
      <c r="CP136" s="356"/>
      <c r="CQ136" s="356"/>
      <c r="CR136" s="356"/>
      <c r="CS136" s="356"/>
      <c r="CT136" s="356"/>
      <c r="CU136" s="356"/>
      <c r="CV136" s="356"/>
      <c r="CW136" s="356"/>
      <c r="CX136" s="356"/>
      <c r="CY136" s="356"/>
      <c r="CZ136" s="356"/>
      <c r="DA136" s="356"/>
      <c r="DB136" s="356"/>
      <c r="DC136" s="356"/>
      <c r="DD136" s="356"/>
      <c r="DE136" s="356"/>
      <c r="DF136" s="356"/>
      <c r="DG136" s="356"/>
      <c r="DH136" s="356"/>
      <c r="DI136" s="356"/>
      <c r="DJ136" s="356"/>
      <c r="DK136" s="356"/>
      <c r="DL136" s="356"/>
      <c r="DM136" s="356"/>
      <c r="DN136" s="356"/>
      <c r="DO136" s="356"/>
      <c r="DP136" s="356"/>
      <c r="DQ136" s="356"/>
    </row>
    <row r="137" spans="1:121" hidden="1" outlineLevel="1">
      <c r="A137" s="41"/>
      <c r="B137" s="364"/>
      <c r="C137" s="356"/>
      <c r="D137" s="356"/>
      <c r="E137" s="362"/>
      <c r="F137" s="362"/>
      <c r="G137" s="356"/>
      <c r="H137" s="364"/>
      <c r="I137" s="364"/>
      <c r="J137" s="366"/>
      <c r="K137" s="366"/>
      <c r="L137" s="366"/>
      <c r="M137" s="366"/>
      <c r="N137" s="366"/>
      <c r="O137" s="366"/>
      <c r="P137" s="366"/>
      <c r="Q137" s="366"/>
      <c r="R137" s="369"/>
      <c r="S137" s="369"/>
      <c r="T137" s="366"/>
      <c r="U137" s="427"/>
      <c r="V137" s="427"/>
      <c r="W137" s="372"/>
      <c r="X137" s="373"/>
      <c r="Y137" s="373"/>
      <c r="Z137" s="374"/>
      <c r="AA137" s="374"/>
      <c r="AB137" s="374"/>
      <c r="AC137" s="374"/>
      <c r="AD137" s="369"/>
      <c r="AE137" s="376"/>
      <c r="AF137" s="376"/>
      <c r="AG137" s="376"/>
      <c r="AH137" s="376"/>
      <c r="AI137" s="375"/>
      <c r="AJ137" s="366"/>
      <c r="AK137" s="366"/>
      <c r="AL137" s="366"/>
      <c r="AM137" s="366"/>
      <c r="AN137" s="366"/>
      <c r="AO137" s="366"/>
      <c r="AP137" s="366"/>
      <c r="AQ137" s="366"/>
      <c r="AR137" s="366"/>
      <c r="AS137" s="366"/>
      <c r="AT137" s="366"/>
      <c r="AU137" s="366"/>
      <c r="AV137" s="366"/>
      <c r="AW137" s="366"/>
      <c r="AX137" s="366"/>
      <c r="AY137" s="366"/>
      <c r="AZ137" s="366"/>
      <c r="BA137" s="366"/>
      <c r="BB137" s="366"/>
      <c r="BC137" s="366"/>
      <c r="BD137" s="366"/>
      <c r="BE137" s="366"/>
      <c r="BF137" s="366"/>
      <c r="BG137" s="366"/>
      <c r="BH137" s="366"/>
      <c r="BI137" s="366"/>
      <c r="BJ137" s="366"/>
      <c r="BK137" s="366"/>
      <c r="BL137" s="366"/>
      <c r="BM137" s="366"/>
      <c r="BN137" s="366"/>
      <c r="BO137" s="366"/>
      <c r="BP137" s="366"/>
      <c r="BQ137" s="366"/>
      <c r="BR137" s="366"/>
      <c r="BS137" s="366"/>
      <c r="BT137" s="366"/>
      <c r="BU137" s="366"/>
      <c r="BV137" s="366"/>
      <c r="BW137" s="366"/>
      <c r="BX137" s="366"/>
      <c r="BY137" s="423"/>
      <c r="BZ137" s="423"/>
      <c r="CI137" s="356"/>
      <c r="CJ137" s="356"/>
      <c r="CK137" s="356"/>
      <c r="CP137" s="356"/>
      <c r="CQ137" s="356"/>
      <c r="CR137" s="356"/>
      <c r="CS137" s="356"/>
      <c r="CT137" s="356"/>
      <c r="CU137" s="356"/>
      <c r="CV137" s="356"/>
      <c r="CW137" s="356"/>
      <c r="CX137" s="356"/>
      <c r="CY137" s="356"/>
      <c r="CZ137" s="356"/>
      <c r="DA137" s="356"/>
      <c r="DB137" s="356"/>
      <c r="DC137" s="356"/>
      <c r="DD137" s="356"/>
      <c r="DE137" s="356"/>
      <c r="DF137" s="356"/>
      <c r="DG137" s="356"/>
      <c r="DH137" s="356"/>
      <c r="DI137" s="356"/>
      <c r="DJ137" s="356"/>
      <c r="DK137" s="356"/>
      <c r="DL137" s="356"/>
      <c r="DM137" s="356"/>
      <c r="DN137" s="356"/>
      <c r="DO137" s="356"/>
      <c r="DP137" s="356"/>
      <c r="DQ137" s="356"/>
    </row>
    <row r="138" spans="1:121" hidden="1" outlineLevel="1">
      <c r="A138" s="41"/>
      <c r="B138" s="364"/>
      <c r="C138" s="356"/>
      <c r="D138" s="356"/>
      <c r="E138" s="362"/>
      <c r="F138" s="362"/>
      <c r="G138" s="356"/>
      <c r="H138" s="364"/>
      <c r="I138" s="364"/>
      <c r="J138" s="366"/>
      <c r="K138" s="366"/>
      <c r="L138" s="366"/>
      <c r="M138" s="366"/>
      <c r="N138" s="366"/>
      <c r="O138" s="366"/>
      <c r="P138" s="366"/>
      <c r="Q138" s="366"/>
      <c r="R138" s="369"/>
      <c r="S138" s="369"/>
      <c r="T138" s="366"/>
      <c r="U138" s="427"/>
      <c r="V138" s="427"/>
      <c r="W138" s="372"/>
      <c r="X138" s="373"/>
      <c r="Y138" s="373"/>
      <c r="Z138" s="374"/>
      <c r="AA138" s="374"/>
      <c r="AB138" s="374"/>
      <c r="AC138" s="374"/>
      <c r="AD138" s="369"/>
      <c r="AE138" s="376"/>
      <c r="AF138" s="376"/>
      <c r="AG138" s="376"/>
      <c r="AH138" s="376"/>
      <c r="AI138" s="375"/>
      <c r="AJ138" s="366"/>
      <c r="AK138" s="366"/>
      <c r="AL138" s="366"/>
      <c r="AM138" s="366"/>
      <c r="AN138" s="366"/>
      <c r="AO138" s="366"/>
      <c r="AP138" s="366"/>
      <c r="AQ138" s="366"/>
      <c r="AR138" s="366"/>
      <c r="AS138" s="366"/>
      <c r="AT138" s="366"/>
      <c r="AU138" s="366"/>
      <c r="AV138" s="366"/>
      <c r="AW138" s="366"/>
      <c r="AX138" s="366"/>
      <c r="AY138" s="366"/>
      <c r="AZ138" s="366"/>
      <c r="BA138" s="366"/>
      <c r="BB138" s="366"/>
      <c r="BC138" s="366"/>
      <c r="BD138" s="366"/>
      <c r="BE138" s="366"/>
      <c r="BF138" s="366"/>
      <c r="BG138" s="366"/>
      <c r="BH138" s="366"/>
      <c r="BI138" s="366"/>
      <c r="BJ138" s="366"/>
      <c r="BK138" s="366"/>
      <c r="BL138" s="366"/>
      <c r="BM138" s="366"/>
      <c r="BN138" s="366"/>
      <c r="BO138" s="366"/>
      <c r="BP138" s="366"/>
      <c r="BQ138" s="366"/>
      <c r="BR138" s="366"/>
      <c r="BS138" s="366"/>
      <c r="BT138" s="366"/>
      <c r="BU138" s="366"/>
      <c r="BV138" s="366"/>
      <c r="BW138" s="366"/>
      <c r="BX138" s="366"/>
      <c r="BY138" s="423"/>
      <c r="BZ138" s="423"/>
      <c r="CI138" s="356"/>
      <c r="CJ138" s="356"/>
      <c r="CK138" s="356"/>
      <c r="CP138" s="356"/>
      <c r="CQ138" s="356"/>
      <c r="CR138" s="356"/>
      <c r="CS138" s="356"/>
      <c r="CT138" s="356"/>
      <c r="CU138" s="356"/>
      <c r="CV138" s="356"/>
      <c r="CW138" s="356"/>
      <c r="CX138" s="356"/>
      <c r="CY138" s="356"/>
      <c r="CZ138" s="356"/>
      <c r="DA138" s="356"/>
      <c r="DB138" s="356"/>
      <c r="DC138" s="356"/>
      <c r="DD138" s="356"/>
      <c r="DE138" s="356"/>
      <c r="DF138" s="356"/>
      <c r="DG138" s="356"/>
      <c r="DH138" s="356"/>
      <c r="DI138" s="356"/>
      <c r="DJ138" s="356"/>
      <c r="DK138" s="356"/>
      <c r="DL138" s="356"/>
      <c r="DM138" s="356"/>
      <c r="DN138" s="356"/>
      <c r="DO138" s="356"/>
      <c r="DP138" s="356"/>
      <c r="DQ138" s="356"/>
    </row>
    <row r="139" spans="1:121" hidden="1" outlineLevel="1">
      <c r="A139" s="41"/>
      <c r="B139" s="364"/>
      <c r="C139" s="356"/>
      <c r="D139" s="356"/>
      <c r="E139" s="362"/>
      <c r="F139" s="362"/>
      <c r="G139" s="356"/>
      <c r="H139" s="364"/>
      <c r="I139" s="364"/>
      <c r="J139" s="366"/>
      <c r="K139" s="366"/>
      <c r="L139" s="366"/>
      <c r="M139" s="366"/>
      <c r="N139" s="366"/>
      <c r="O139" s="366"/>
      <c r="P139" s="366"/>
      <c r="Q139" s="366"/>
      <c r="R139" s="369"/>
      <c r="S139" s="369"/>
      <c r="T139" s="366"/>
      <c r="U139" s="427"/>
      <c r="V139" s="427"/>
      <c r="W139" s="372"/>
      <c r="X139" s="373"/>
      <c r="Y139" s="373"/>
      <c r="Z139" s="374"/>
      <c r="AA139" s="374"/>
      <c r="AB139" s="374"/>
      <c r="AC139" s="374"/>
      <c r="AD139" s="369"/>
      <c r="AE139" s="376"/>
      <c r="AF139" s="376"/>
      <c r="AG139" s="376"/>
      <c r="AH139" s="376"/>
      <c r="AI139" s="375"/>
      <c r="AJ139" s="366"/>
      <c r="AK139" s="366"/>
      <c r="AL139" s="366"/>
      <c r="AM139" s="366"/>
      <c r="AN139" s="366"/>
      <c r="AO139" s="366"/>
      <c r="AP139" s="366"/>
      <c r="AQ139" s="366"/>
      <c r="AR139" s="366"/>
      <c r="AS139" s="366"/>
      <c r="AT139" s="366"/>
      <c r="AU139" s="366"/>
      <c r="AV139" s="366"/>
      <c r="AW139" s="366"/>
      <c r="AX139" s="366"/>
      <c r="AY139" s="366"/>
      <c r="AZ139" s="366"/>
      <c r="BA139" s="366"/>
      <c r="BB139" s="366"/>
      <c r="BC139" s="366"/>
      <c r="BD139" s="366"/>
      <c r="BE139" s="366"/>
      <c r="BF139" s="366"/>
      <c r="BG139" s="366"/>
      <c r="BH139" s="366"/>
      <c r="BI139" s="366"/>
      <c r="BJ139" s="366"/>
      <c r="BK139" s="366"/>
      <c r="BL139" s="366"/>
      <c r="BM139" s="366"/>
      <c r="BN139" s="366"/>
      <c r="BO139" s="366"/>
      <c r="BP139" s="366"/>
      <c r="BQ139" s="366"/>
      <c r="BR139" s="366"/>
      <c r="BS139" s="366"/>
      <c r="BT139" s="366"/>
      <c r="BU139" s="366"/>
      <c r="BV139" s="366"/>
      <c r="BW139" s="366"/>
      <c r="BX139" s="366"/>
      <c r="BY139" s="423"/>
      <c r="BZ139" s="423"/>
      <c r="CI139" s="356"/>
      <c r="CJ139" s="356"/>
      <c r="CK139" s="356"/>
      <c r="CP139" s="356"/>
      <c r="CQ139" s="356"/>
      <c r="CR139" s="356"/>
      <c r="CS139" s="356"/>
      <c r="CT139" s="356"/>
      <c r="CU139" s="356"/>
      <c r="CV139" s="356"/>
      <c r="CW139" s="356"/>
      <c r="CX139" s="356"/>
      <c r="CY139" s="356"/>
      <c r="CZ139" s="356"/>
      <c r="DA139" s="356"/>
      <c r="DB139" s="356"/>
      <c r="DC139" s="356"/>
      <c r="DD139" s="356"/>
      <c r="DE139" s="356"/>
      <c r="DF139" s="356"/>
      <c r="DG139" s="356"/>
      <c r="DH139" s="356"/>
      <c r="DI139" s="356"/>
      <c r="DJ139" s="356"/>
      <c r="DK139" s="356"/>
      <c r="DL139" s="356"/>
      <c r="DM139" s="356"/>
      <c r="DN139" s="356"/>
      <c r="DO139" s="356"/>
      <c r="DP139" s="356"/>
      <c r="DQ139" s="356"/>
    </row>
    <row r="140" spans="1:121" hidden="1" outlineLevel="1">
      <c r="A140" s="41"/>
      <c r="B140" s="364"/>
      <c r="C140" s="356"/>
      <c r="D140" s="356"/>
      <c r="E140" s="362"/>
      <c r="F140" s="362"/>
      <c r="G140" s="356"/>
      <c r="H140" s="364"/>
      <c r="I140" s="364"/>
      <c r="J140" s="366"/>
      <c r="K140" s="366"/>
      <c r="L140" s="366"/>
      <c r="M140" s="366"/>
      <c r="N140" s="366"/>
      <c r="O140" s="366"/>
      <c r="P140" s="366"/>
      <c r="Q140" s="366"/>
      <c r="R140" s="369"/>
      <c r="S140" s="369"/>
      <c r="T140" s="366"/>
      <c r="U140" s="427"/>
      <c r="V140" s="427"/>
      <c r="W140" s="372"/>
      <c r="X140" s="373"/>
      <c r="Y140" s="373"/>
      <c r="Z140" s="374"/>
      <c r="AA140" s="374"/>
      <c r="AB140" s="374"/>
      <c r="AC140" s="374"/>
      <c r="AD140" s="369"/>
      <c r="AE140" s="376"/>
      <c r="AF140" s="376"/>
      <c r="AG140" s="376"/>
      <c r="AH140" s="376"/>
      <c r="AI140" s="375"/>
      <c r="AJ140" s="366"/>
      <c r="AK140" s="366"/>
      <c r="AL140" s="366"/>
      <c r="AM140" s="366"/>
      <c r="AN140" s="366"/>
      <c r="AO140" s="366"/>
      <c r="AP140" s="366"/>
      <c r="AQ140" s="366"/>
      <c r="AR140" s="366"/>
      <c r="AS140" s="366"/>
      <c r="AT140" s="366"/>
      <c r="AU140" s="366"/>
      <c r="AV140" s="366"/>
      <c r="AW140" s="366"/>
      <c r="AX140" s="366"/>
      <c r="AY140" s="366"/>
      <c r="AZ140" s="366"/>
      <c r="BA140" s="366"/>
      <c r="BB140" s="366"/>
      <c r="BC140" s="366"/>
      <c r="BD140" s="366"/>
      <c r="BE140" s="366"/>
      <c r="BF140" s="366"/>
      <c r="BG140" s="366"/>
      <c r="BH140" s="366"/>
      <c r="BI140" s="366"/>
      <c r="BJ140" s="366"/>
      <c r="BK140" s="366"/>
      <c r="BL140" s="366"/>
      <c r="BM140" s="366"/>
      <c r="BN140" s="366"/>
      <c r="BO140" s="366"/>
      <c r="BP140" s="366"/>
      <c r="BQ140" s="366"/>
      <c r="BR140" s="366"/>
      <c r="BS140" s="366"/>
      <c r="BT140" s="366"/>
      <c r="BU140" s="366"/>
      <c r="BV140" s="366"/>
      <c r="BW140" s="366"/>
      <c r="BX140" s="366"/>
      <c r="BY140" s="423"/>
      <c r="BZ140" s="423"/>
      <c r="CI140" s="356"/>
      <c r="CJ140" s="356"/>
      <c r="CK140" s="356"/>
      <c r="CP140" s="356"/>
      <c r="CQ140" s="356"/>
      <c r="CR140" s="356"/>
      <c r="CS140" s="356"/>
      <c r="CT140" s="356"/>
      <c r="CU140" s="356"/>
      <c r="CV140" s="356"/>
      <c r="CW140" s="356"/>
      <c r="CX140" s="356"/>
      <c r="CY140" s="356"/>
      <c r="CZ140" s="356"/>
      <c r="DA140" s="356"/>
      <c r="DB140" s="356"/>
      <c r="DC140" s="356"/>
      <c r="DD140" s="356"/>
      <c r="DE140" s="356"/>
      <c r="DF140" s="356"/>
      <c r="DG140" s="356"/>
      <c r="DH140" s="356"/>
      <c r="DI140" s="356"/>
      <c r="DJ140" s="356"/>
      <c r="DK140" s="356"/>
      <c r="DL140" s="356"/>
      <c r="DM140" s="356"/>
      <c r="DN140" s="356"/>
      <c r="DO140" s="356"/>
      <c r="DP140" s="356"/>
      <c r="DQ140" s="356"/>
    </row>
    <row r="141" spans="1:121" hidden="1" outlineLevel="1">
      <c r="A141" s="41"/>
      <c r="B141" s="364"/>
      <c r="C141" s="356"/>
      <c r="D141" s="356"/>
      <c r="E141" s="362"/>
      <c r="F141" s="362"/>
      <c r="G141" s="356"/>
      <c r="H141" s="364"/>
      <c r="I141" s="364"/>
      <c r="J141" s="366"/>
      <c r="K141" s="366"/>
      <c r="L141" s="366"/>
      <c r="M141" s="366"/>
      <c r="N141" s="366"/>
      <c r="O141" s="366"/>
      <c r="P141" s="366"/>
      <c r="Q141" s="366"/>
      <c r="R141" s="369"/>
      <c r="S141" s="369"/>
      <c r="T141" s="366"/>
      <c r="U141" s="427"/>
      <c r="V141" s="427"/>
      <c r="W141" s="372"/>
      <c r="X141" s="373"/>
      <c r="Y141" s="373"/>
      <c r="Z141" s="374"/>
      <c r="AA141" s="374"/>
      <c r="AB141" s="374"/>
      <c r="AC141" s="374"/>
      <c r="AD141" s="369"/>
      <c r="AE141" s="376"/>
      <c r="AF141" s="376"/>
      <c r="AG141" s="376"/>
      <c r="AH141" s="376"/>
      <c r="AI141" s="375"/>
      <c r="AJ141" s="366"/>
      <c r="AK141" s="366"/>
      <c r="AL141" s="366"/>
      <c r="AM141" s="366"/>
      <c r="AN141" s="366"/>
      <c r="AO141" s="366"/>
      <c r="AP141" s="366"/>
      <c r="AQ141" s="366"/>
      <c r="AR141" s="366"/>
      <c r="AS141" s="366"/>
      <c r="AT141" s="366"/>
      <c r="AU141" s="366"/>
      <c r="AV141" s="366"/>
      <c r="AW141" s="366"/>
      <c r="AX141" s="366"/>
      <c r="AY141" s="366"/>
      <c r="AZ141" s="366"/>
      <c r="BA141" s="366"/>
      <c r="BB141" s="366"/>
      <c r="BC141" s="366"/>
      <c r="BD141" s="366"/>
      <c r="BE141" s="366"/>
      <c r="BF141" s="366"/>
      <c r="BG141" s="366"/>
      <c r="BH141" s="366"/>
      <c r="BI141" s="366"/>
      <c r="BJ141" s="366"/>
      <c r="BK141" s="366"/>
      <c r="BL141" s="366"/>
      <c r="BM141" s="366"/>
      <c r="BN141" s="366"/>
      <c r="BO141" s="366"/>
      <c r="BP141" s="366"/>
      <c r="BQ141" s="366"/>
      <c r="BR141" s="366"/>
      <c r="BS141" s="366"/>
      <c r="BT141" s="366"/>
      <c r="BU141" s="366"/>
      <c r="BV141" s="366"/>
      <c r="BW141" s="366"/>
      <c r="BX141" s="366"/>
      <c r="BY141" s="423"/>
      <c r="BZ141" s="423"/>
      <c r="CI141" s="356"/>
      <c r="CJ141" s="356"/>
      <c r="CK141" s="356"/>
      <c r="CP141" s="356"/>
      <c r="CQ141" s="356"/>
      <c r="CR141" s="356"/>
      <c r="CS141" s="356"/>
      <c r="CT141" s="356"/>
      <c r="CU141" s="356"/>
      <c r="CV141" s="356"/>
      <c r="CW141" s="356"/>
      <c r="CX141" s="356"/>
      <c r="CY141" s="356"/>
      <c r="CZ141" s="356"/>
      <c r="DA141" s="356"/>
      <c r="DB141" s="356"/>
      <c r="DC141" s="356"/>
      <c r="DD141" s="356"/>
      <c r="DE141" s="356"/>
      <c r="DF141" s="356"/>
      <c r="DG141" s="356"/>
      <c r="DH141" s="356"/>
      <c r="DI141" s="356"/>
      <c r="DJ141" s="356"/>
      <c r="DK141" s="356"/>
      <c r="DL141" s="356"/>
      <c r="DM141" s="356"/>
      <c r="DN141" s="356"/>
      <c r="DO141" s="356"/>
      <c r="DP141" s="356"/>
      <c r="DQ141" s="356"/>
    </row>
    <row r="142" spans="1:121" hidden="1" outlineLevel="1">
      <c r="A142" s="41"/>
      <c r="B142" s="364"/>
      <c r="C142" s="356"/>
      <c r="D142" s="356"/>
      <c r="E142" s="362"/>
      <c r="F142" s="362"/>
      <c r="G142" s="356"/>
      <c r="H142" s="364"/>
      <c r="I142" s="364"/>
      <c r="J142" s="366"/>
      <c r="K142" s="366"/>
      <c r="L142" s="366"/>
      <c r="M142" s="366"/>
      <c r="N142" s="366"/>
      <c r="O142" s="366"/>
      <c r="P142" s="366"/>
      <c r="Q142" s="366"/>
      <c r="R142" s="369"/>
      <c r="S142" s="369"/>
      <c r="T142" s="366"/>
      <c r="U142" s="427"/>
      <c r="V142" s="427"/>
      <c r="W142" s="372"/>
      <c r="X142" s="373"/>
      <c r="Y142" s="373"/>
      <c r="Z142" s="374"/>
      <c r="AA142" s="374"/>
      <c r="AB142" s="374"/>
      <c r="AC142" s="374"/>
      <c r="AD142" s="369"/>
      <c r="AE142" s="376"/>
      <c r="AF142" s="376"/>
      <c r="AG142" s="376"/>
      <c r="AH142" s="376"/>
      <c r="AI142" s="375"/>
      <c r="AJ142" s="366"/>
      <c r="AK142" s="366"/>
      <c r="AL142" s="366"/>
      <c r="AM142" s="366"/>
      <c r="AN142" s="366"/>
      <c r="AO142" s="366"/>
      <c r="AP142" s="366"/>
      <c r="AQ142" s="366"/>
      <c r="AR142" s="366"/>
      <c r="AS142" s="366"/>
      <c r="AT142" s="366"/>
      <c r="AU142" s="366"/>
      <c r="AV142" s="366"/>
      <c r="AW142" s="366"/>
      <c r="AX142" s="366"/>
      <c r="AY142" s="366"/>
      <c r="AZ142" s="366"/>
      <c r="BA142" s="366"/>
      <c r="BB142" s="366"/>
      <c r="BC142" s="366"/>
      <c r="BD142" s="366"/>
      <c r="BE142" s="366"/>
      <c r="BF142" s="366"/>
      <c r="BG142" s="366"/>
      <c r="BH142" s="366"/>
      <c r="BI142" s="366"/>
      <c r="BJ142" s="366"/>
      <c r="BK142" s="366"/>
      <c r="BL142" s="366"/>
      <c r="BM142" s="366"/>
      <c r="BN142" s="366"/>
      <c r="BO142" s="366"/>
      <c r="BP142" s="366"/>
      <c r="BQ142" s="366"/>
      <c r="BR142" s="366"/>
      <c r="BS142" s="366"/>
      <c r="BT142" s="366"/>
      <c r="BU142" s="366"/>
      <c r="BV142" s="366"/>
      <c r="BW142" s="366"/>
      <c r="BX142" s="366"/>
      <c r="BY142" s="423"/>
      <c r="BZ142" s="423"/>
      <c r="CI142" s="356"/>
      <c r="CJ142" s="356"/>
      <c r="CK142" s="356"/>
      <c r="CP142" s="356"/>
      <c r="CQ142" s="356"/>
      <c r="CR142" s="356"/>
      <c r="CS142" s="356"/>
      <c r="CT142" s="356"/>
      <c r="CU142" s="356"/>
      <c r="CV142" s="356"/>
      <c r="CW142" s="356"/>
      <c r="CX142" s="356"/>
      <c r="CY142" s="356"/>
      <c r="CZ142" s="356"/>
      <c r="DA142" s="356"/>
      <c r="DB142" s="356"/>
      <c r="DC142" s="356"/>
      <c r="DD142" s="356"/>
      <c r="DE142" s="356"/>
      <c r="DF142" s="356"/>
      <c r="DG142" s="356"/>
      <c r="DH142" s="356"/>
      <c r="DI142" s="356"/>
      <c r="DJ142" s="356"/>
      <c r="DK142" s="356"/>
      <c r="DL142" s="356"/>
      <c r="DM142" s="356"/>
      <c r="DN142" s="356"/>
      <c r="DO142" s="356"/>
      <c r="DP142" s="356"/>
      <c r="DQ142" s="356"/>
    </row>
    <row r="143" spans="1:121" hidden="1" outlineLevel="1">
      <c r="A143" s="41"/>
      <c r="B143" s="364"/>
      <c r="C143" s="356"/>
      <c r="D143" s="356"/>
      <c r="E143" s="362"/>
      <c r="F143" s="362"/>
      <c r="G143" s="356"/>
      <c r="H143" s="364"/>
      <c r="I143" s="364"/>
      <c r="J143" s="366"/>
      <c r="K143" s="366"/>
      <c r="L143" s="366"/>
      <c r="M143" s="366"/>
      <c r="N143" s="366"/>
      <c r="O143" s="366"/>
      <c r="P143" s="366"/>
      <c r="Q143" s="366"/>
      <c r="R143" s="369"/>
      <c r="S143" s="369"/>
      <c r="T143" s="366"/>
      <c r="U143" s="427"/>
      <c r="V143" s="427"/>
      <c r="W143" s="372"/>
      <c r="X143" s="373"/>
      <c r="Y143" s="373"/>
      <c r="Z143" s="374"/>
      <c r="AA143" s="374"/>
      <c r="AB143" s="374"/>
      <c r="AC143" s="374"/>
      <c r="AD143" s="369"/>
      <c r="AE143" s="376"/>
      <c r="AF143" s="376"/>
      <c r="AG143" s="376"/>
      <c r="AH143" s="376"/>
      <c r="AI143" s="375"/>
      <c r="AJ143" s="366"/>
      <c r="AK143" s="366"/>
      <c r="AL143" s="366"/>
      <c r="AM143" s="366"/>
      <c r="AN143" s="366"/>
      <c r="AO143" s="366"/>
      <c r="AP143" s="366"/>
      <c r="AQ143" s="366"/>
      <c r="AR143" s="366"/>
      <c r="AS143" s="366"/>
      <c r="AT143" s="366"/>
      <c r="AU143" s="366"/>
      <c r="AV143" s="366"/>
      <c r="AW143" s="366"/>
      <c r="AX143" s="366"/>
      <c r="AY143" s="366"/>
      <c r="AZ143" s="366"/>
      <c r="BA143" s="366"/>
      <c r="BB143" s="366"/>
      <c r="BC143" s="366"/>
      <c r="BD143" s="366"/>
      <c r="BE143" s="366"/>
      <c r="BF143" s="366"/>
      <c r="BG143" s="366"/>
      <c r="BH143" s="366"/>
      <c r="BI143" s="366"/>
      <c r="BJ143" s="366"/>
      <c r="BK143" s="366"/>
      <c r="BL143" s="366"/>
      <c r="BM143" s="366"/>
      <c r="BN143" s="366"/>
      <c r="BO143" s="366"/>
      <c r="BP143" s="366"/>
      <c r="BQ143" s="366"/>
      <c r="BR143" s="366"/>
      <c r="BS143" s="366"/>
      <c r="BT143" s="366"/>
      <c r="BU143" s="366"/>
      <c r="BV143" s="366"/>
      <c r="BW143" s="366"/>
      <c r="BX143" s="366"/>
      <c r="BY143" s="423"/>
      <c r="BZ143" s="423"/>
      <c r="CI143" s="356"/>
      <c r="CJ143" s="356"/>
      <c r="CK143" s="356"/>
      <c r="CP143" s="356"/>
      <c r="CQ143" s="356"/>
      <c r="CR143" s="356"/>
      <c r="CS143" s="356"/>
      <c r="CT143" s="356"/>
      <c r="CU143" s="356"/>
      <c r="CV143" s="356"/>
      <c r="CW143" s="356"/>
      <c r="CX143" s="356"/>
      <c r="CY143" s="356"/>
      <c r="CZ143" s="356"/>
      <c r="DA143" s="356"/>
      <c r="DB143" s="356"/>
      <c r="DC143" s="356"/>
      <c r="DD143" s="356"/>
      <c r="DE143" s="356"/>
      <c r="DF143" s="356"/>
      <c r="DG143" s="356"/>
      <c r="DH143" s="356"/>
      <c r="DI143" s="356"/>
      <c r="DJ143" s="356"/>
      <c r="DK143" s="356"/>
      <c r="DL143" s="356"/>
      <c r="DM143" s="356"/>
      <c r="DN143" s="356"/>
      <c r="DO143" s="356"/>
      <c r="DP143" s="356"/>
      <c r="DQ143" s="356"/>
    </row>
    <row r="144" spans="1:121" hidden="1" outlineLevel="1">
      <c r="A144" s="41"/>
      <c r="B144" s="364"/>
      <c r="C144" s="356"/>
      <c r="D144" s="356"/>
      <c r="E144" s="362"/>
      <c r="F144" s="362"/>
      <c r="G144" s="356"/>
      <c r="H144" s="364"/>
      <c r="I144" s="364"/>
      <c r="J144" s="366"/>
      <c r="K144" s="366"/>
      <c r="L144" s="366"/>
      <c r="M144" s="366"/>
      <c r="N144" s="366"/>
      <c r="O144" s="366"/>
      <c r="P144" s="366"/>
      <c r="Q144" s="366"/>
      <c r="R144" s="369"/>
      <c r="S144" s="369"/>
      <c r="T144" s="366"/>
      <c r="U144" s="427"/>
      <c r="V144" s="427"/>
      <c r="W144" s="372"/>
      <c r="X144" s="373"/>
      <c r="Y144" s="373"/>
      <c r="Z144" s="374"/>
      <c r="AA144" s="374"/>
      <c r="AB144" s="374"/>
      <c r="AC144" s="374"/>
      <c r="AD144" s="369"/>
      <c r="AE144" s="376"/>
      <c r="AF144" s="376"/>
      <c r="AG144" s="376"/>
      <c r="AH144" s="376"/>
      <c r="AI144" s="375"/>
      <c r="AJ144" s="366"/>
      <c r="AK144" s="366"/>
      <c r="AL144" s="366"/>
      <c r="AM144" s="366"/>
      <c r="AN144" s="366"/>
      <c r="AO144" s="366"/>
      <c r="AP144" s="366"/>
      <c r="AQ144" s="366"/>
      <c r="AR144" s="366"/>
      <c r="AS144" s="366"/>
      <c r="AT144" s="366"/>
      <c r="AU144" s="366"/>
      <c r="AV144" s="366"/>
      <c r="AW144" s="366"/>
      <c r="AX144" s="366"/>
      <c r="AY144" s="366"/>
      <c r="AZ144" s="366"/>
      <c r="BA144" s="366"/>
      <c r="BB144" s="366"/>
      <c r="BC144" s="366"/>
      <c r="BD144" s="366"/>
      <c r="BE144" s="366"/>
      <c r="BF144" s="366"/>
      <c r="BG144" s="366"/>
      <c r="BH144" s="366"/>
      <c r="BI144" s="366"/>
      <c r="BJ144" s="366"/>
      <c r="BK144" s="366"/>
      <c r="BL144" s="366"/>
      <c r="BM144" s="366"/>
      <c r="BN144" s="366"/>
      <c r="BO144" s="366"/>
      <c r="BP144" s="366"/>
      <c r="BQ144" s="366"/>
      <c r="BR144" s="366"/>
      <c r="BS144" s="366"/>
      <c r="BT144" s="366"/>
      <c r="BU144" s="366"/>
      <c r="BV144" s="366"/>
      <c r="BW144" s="366"/>
      <c r="BX144" s="366"/>
      <c r="BY144" s="423"/>
      <c r="BZ144" s="423"/>
      <c r="CI144" s="356"/>
      <c r="CJ144" s="356"/>
      <c r="CK144" s="356"/>
      <c r="CP144" s="356"/>
      <c r="CQ144" s="356"/>
      <c r="CR144" s="356"/>
      <c r="CS144" s="356"/>
      <c r="CT144" s="356"/>
      <c r="CU144" s="356"/>
      <c r="CV144" s="356"/>
      <c r="CW144" s="356"/>
      <c r="CX144" s="356"/>
      <c r="CY144" s="356"/>
      <c r="CZ144" s="356"/>
      <c r="DA144" s="356"/>
      <c r="DB144" s="356"/>
      <c r="DC144" s="356"/>
      <c r="DD144" s="356"/>
      <c r="DE144" s="356"/>
      <c r="DF144" s="356"/>
      <c r="DG144" s="356"/>
      <c r="DH144" s="356"/>
      <c r="DI144" s="356"/>
      <c r="DJ144" s="356"/>
      <c r="DK144" s="356"/>
      <c r="DL144" s="356"/>
      <c r="DM144" s="356"/>
      <c r="DN144" s="356"/>
      <c r="DO144" s="356"/>
      <c r="DP144" s="356"/>
      <c r="DQ144" s="356"/>
    </row>
    <row r="145" spans="1:121" hidden="1" outlineLevel="1">
      <c r="A145" s="41"/>
      <c r="B145" s="364"/>
      <c r="C145" s="356"/>
      <c r="D145" s="356"/>
      <c r="E145" s="362"/>
      <c r="F145" s="362"/>
      <c r="G145" s="356"/>
      <c r="H145" s="364"/>
      <c r="I145" s="364"/>
      <c r="J145" s="366"/>
      <c r="K145" s="366"/>
      <c r="L145" s="366"/>
      <c r="M145" s="366"/>
      <c r="N145" s="366"/>
      <c r="O145" s="366"/>
      <c r="P145" s="366"/>
      <c r="Q145" s="366"/>
      <c r="R145" s="369"/>
      <c r="S145" s="369"/>
      <c r="T145" s="366"/>
      <c r="U145" s="427"/>
      <c r="V145" s="427"/>
      <c r="W145" s="372"/>
      <c r="X145" s="373"/>
      <c r="Y145" s="373"/>
      <c r="Z145" s="374"/>
      <c r="AA145" s="374"/>
      <c r="AB145" s="374"/>
      <c r="AC145" s="374"/>
      <c r="AD145" s="369"/>
      <c r="AE145" s="376"/>
      <c r="AF145" s="376"/>
      <c r="AG145" s="376"/>
      <c r="AH145" s="376"/>
      <c r="AI145" s="375"/>
      <c r="AJ145" s="366"/>
      <c r="AK145" s="366"/>
      <c r="AL145" s="366"/>
      <c r="AM145" s="366"/>
      <c r="AN145" s="366"/>
      <c r="AO145" s="366"/>
      <c r="AP145" s="366"/>
      <c r="AQ145" s="366"/>
      <c r="AR145" s="366"/>
      <c r="AS145" s="366"/>
      <c r="AT145" s="366"/>
      <c r="AU145" s="366"/>
      <c r="AV145" s="366"/>
      <c r="AW145" s="366"/>
      <c r="AX145" s="366"/>
      <c r="AY145" s="366"/>
      <c r="AZ145" s="366"/>
      <c r="BA145" s="366"/>
      <c r="BB145" s="366"/>
      <c r="BC145" s="366"/>
      <c r="BD145" s="366"/>
      <c r="BE145" s="366"/>
      <c r="BF145" s="366"/>
      <c r="BG145" s="366"/>
      <c r="BH145" s="366"/>
      <c r="BI145" s="366"/>
      <c r="BJ145" s="366"/>
      <c r="BK145" s="366"/>
      <c r="BL145" s="366"/>
      <c r="BM145" s="366"/>
      <c r="BN145" s="366"/>
      <c r="BO145" s="366"/>
      <c r="BP145" s="366"/>
      <c r="BQ145" s="366"/>
      <c r="BR145" s="366"/>
      <c r="BS145" s="366"/>
      <c r="BT145" s="366"/>
      <c r="BU145" s="366"/>
      <c r="BV145" s="366"/>
      <c r="BW145" s="366"/>
      <c r="BX145" s="366"/>
      <c r="BY145" s="423"/>
      <c r="BZ145" s="423"/>
      <c r="CI145" s="356"/>
      <c r="CJ145" s="356"/>
      <c r="CK145" s="356"/>
      <c r="CP145" s="356"/>
      <c r="CQ145" s="356"/>
      <c r="CR145" s="356"/>
      <c r="CS145" s="356"/>
      <c r="CT145" s="356"/>
      <c r="CU145" s="356"/>
      <c r="CV145" s="356"/>
      <c r="CW145" s="356"/>
      <c r="CX145" s="356"/>
      <c r="CY145" s="356"/>
      <c r="CZ145" s="356"/>
      <c r="DA145" s="356"/>
      <c r="DB145" s="356"/>
      <c r="DC145" s="356"/>
      <c r="DD145" s="356"/>
      <c r="DE145" s="356"/>
      <c r="DF145" s="356"/>
      <c r="DG145" s="356"/>
      <c r="DH145" s="356"/>
      <c r="DI145" s="356"/>
      <c r="DJ145" s="356"/>
      <c r="DK145" s="356"/>
      <c r="DL145" s="356"/>
      <c r="DM145" s="356"/>
      <c r="DN145" s="356"/>
      <c r="DO145" s="356"/>
      <c r="DP145" s="356"/>
      <c r="DQ145" s="356"/>
    </row>
    <row r="146" spans="1:121" hidden="1" outlineLevel="1">
      <c r="A146" s="41"/>
      <c r="B146" s="364"/>
      <c r="C146" s="356"/>
      <c r="D146" s="356"/>
      <c r="E146" s="362"/>
      <c r="F146" s="362"/>
      <c r="G146" s="356"/>
      <c r="H146" s="364"/>
      <c r="I146" s="364"/>
      <c r="J146" s="366"/>
      <c r="K146" s="366"/>
      <c r="L146" s="366"/>
      <c r="M146" s="366"/>
      <c r="N146" s="366"/>
      <c r="O146" s="366"/>
      <c r="P146" s="366"/>
      <c r="Q146" s="366"/>
      <c r="R146" s="369"/>
      <c r="S146" s="369"/>
      <c r="T146" s="366"/>
      <c r="U146" s="427"/>
      <c r="V146" s="427"/>
      <c r="W146" s="372"/>
      <c r="X146" s="373"/>
      <c r="Y146" s="373"/>
      <c r="Z146" s="374"/>
      <c r="AA146" s="374"/>
      <c r="AB146" s="374"/>
      <c r="AC146" s="374"/>
      <c r="AD146" s="369"/>
      <c r="AE146" s="376"/>
      <c r="AF146" s="376"/>
      <c r="AG146" s="376"/>
      <c r="AH146" s="376"/>
      <c r="AI146" s="375"/>
      <c r="AJ146" s="366"/>
      <c r="AK146" s="366"/>
      <c r="AL146" s="366"/>
      <c r="AM146" s="366"/>
      <c r="AN146" s="366"/>
      <c r="AO146" s="366"/>
      <c r="AP146" s="366"/>
      <c r="AQ146" s="366"/>
      <c r="AR146" s="366"/>
      <c r="AS146" s="366"/>
      <c r="AT146" s="366"/>
      <c r="AU146" s="366"/>
      <c r="AV146" s="366"/>
      <c r="AW146" s="366"/>
      <c r="AX146" s="366"/>
      <c r="AY146" s="366"/>
      <c r="AZ146" s="366"/>
      <c r="BA146" s="366"/>
      <c r="BB146" s="366"/>
      <c r="BC146" s="366"/>
      <c r="BD146" s="366"/>
      <c r="BE146" s="366"/>
      <c r="BF146" s="366"/>
      <c r="BG146" s="366"/>
      <c r="BH146" s="366"/>
      <c r="BI146" s="366"/>
      <c r="BJ146" s="366"/>
      <c r="BK146" s="366"/>
      <c r="BL146" s="366"/>
      <c r="BM146" s="366"/>
      <c r="BN146" s="366"/>
      <c r="BO146" s="366"/>
      <c r="BP146" s="366"/>
      <c r="BQ146" s="366"/>
      <c r="BR146" s="366"/>
      <c r="BS146" s="366"/>
      <c r="BT146" s="366"/>
      <c r="BU146" s="366"/>
      <c r="BV146" s="366"/>
      <c r="BW146" s="366"/>
      <c r="BX146" s="366"/>
      <c r="BY146" s="423"/>
      <c r="BZ146" s="423"/>
      <c r="CI146" s="356"/>
      <c r="CJ146" s="356"/>
      <c r="CK146" s="356"/>
      <c r="CP146" s="356"/>
      <c r="CQ146" s="356"/>
      <c r="CR146" s="356"/>
      <c r="CS146" s="356"/>
      <c r="CT146" s="356"/>
      <c r="CU146" s="356"/>
      <c r="CV146" s="356"/>
      <c r="CW146" s="356"/>
      <c r="CX146" s="356"/>
      <c r="CY146" s="356"/>
      <c r="CZ146" s="356"/>
      <c r="DA146" s="356"/>
      <c r="DB146" s="356"/>
      <c r="DC146" s="356"/>
      <c r="DD146" s="356"/>
      <c r="DE146" s="356"/>
      <c r="DF146" s="356"/>
      <c r="DG146" s="356"/>
      <c r="DH146" s="356"/>
      <c r="DI146" s="356"/>
      <c r="DJ146" s="356"/>
      <c r="DK146" s="356"/>
      <c r="DL146" s="356"/>
      <c r="DM146" s="356"/>
      <c r="DN146" s="356"/>
      <c r="DO146" s="356"/>
      <c r="DP146" s="356"/>
      <c r="DQ146" s="356"/>
    </row>
    <row r="147" spans="1:121" hidden="1" outlineLevel="1">
      <c r="A147" s="41"/>
      <c r="B147" s="364"/>
      <c r="C147" s="356"/>
      <c r="D147" s="356"/>
      <c r="E147" s="362"/>
      <c r="F147" s="362"/>
      <c r="G147" s="356"/>
      <c r="H147" s="364"/>
      <c r="I147" s="364"/>
      <c r="J147" s="366"/>
      <c r="K147" s="366"/>
      <c r="L147" s="366"/>
      <c r="M147" s="366"/>
      <c r="N147" s="366"/>
      <c r="O147" s="366"/>
      <c r="P147" s="366"/>
      <c r="Q147" s="366"/>
      <c r="R147" s="369"/>
      <c r="S147" s="369"/>
      <c r="T147" s="366"/>
      <c r="U147" s="427"/>
      <c r="V147" s="427"/>
      <c r="W147" s="372"/>
      <c r="X147" s="373"/>
      <c r="Y147" s="373"/>
      <c r="Z147" s="374"/>
      <c r="AA147" s="374"/>
      <c r="AB147" s="374"/>
      <c r="AC147" s="374"/>
      <c r="AD147" s="369"/>
      <c r="AE147" s="376"/>
      <c r="AF147" s="376"/>
      <c r="AG147" s="376"/>
      <c r="AH147" s="376"/>
      <c r="AI147" s="375"/>
      <c r="AJ147" s="366"/>
      <c r="AK147" s="366"/>
      <c r="AL147" s="366"/>
      <c r="AM147" s="366"/>
      <c r="AN147" s="366"/>
      <c r="AO147" s="366"/>
      <c r="AP147" s="366"/>
      <c r="AQ147" s="366"/>
      <c r="AR147" s="366"/>
      <c r="AS147" s="366"/>
      <c r="AT147" s="366"/>
      <c r="AU147" s="366"/>
      <c r="AV147" s="366"/>
      <c r="AW147" s="366"/>
      <c r="AX147" s="366"/>
      <c r="AY147" s="366"/>
      <c r="AZ147" s="366"/>
      <c r="BA147" s="366"/>
      <c r="BB147" s="366"/>
      <c r="BC147" s="366"/>
      <c r="BD147" s="366"/>
      <c r="BE147" s="366"/>
      <c r="BF147" s="366"/>
      <c r="BG147" s="366"/>
      <c r="BH147" s="366"/>
      <c r="BI147" s="366"/>
      <c r="BJ147" s="366"/>
      <c r="BK147" s="366"/>
      <c r="BL147" s="366"/>
      <c r="BM147" s="366"/>
      <c r="BN147" s="366"/>
      <c r="BO147" s="366"/>
      <c r="BP147" s="366"/>
      <c r="BQ147" s="366"/>
      <c r="BR147" s="366"/>
      <c r="BS147" s="366"/>
      <c r="BT147" s="366"/>
      <c r="BU147" s="366"/>
      <c r="BV147" s="366"/>
      <c r="BW147" s="366"/>
      <c r="BX147" s="366"/>
      <c r="BY147" s="423"/>
      <c r="BZ147" s="423"/>
      <c r="CI147" s="356"/>
      <c r="CJ147" s="356"/>
      <c r="CK147" s="356"/>
      <c r="CP147" s="356"/>
      <c r="CQ147" s="356"/>
      <c r="CR147" s="356"/>
      <c r="CS147" s="356"/>
      <c r="CT147" s="356"/>
      <c r="CU147" s="356"/>
      <c r="CV147" s="356"/>
      <c r="CW147" s="356"/>
      <c r="CX147" s="356"/>
      <c r="CY147" s="356"/>
      <c r="CZ147" s="356"/>
      <c r="DA147" s="356"/>
      <c r="DB147" s="356"/>
      <c r="DC147" s="356"/>
      <c r="DD147" s="356"/>
      <c r="DE147" s="356"/>
      <c r="DF147" s="356"/>
      <c r="DG147" s="356"/>
      <c r="DH147" s="356"/>
      <c r="DI147" s="356"/>
      <c r="DJ147" s="356"/>
      <c r="DK147" s="356"/>
      <c r="DL147" s="356"/>
      <c r="DM147" s="356"/>
      <c r="DN147" s="356"/>
      <c r="DO147" s="356"/>
      <c r="DP147" s="356"/>
      <c r="DQ147" s="356"/>
    </row>
    <row r="148" spans="1:121" hidden="1" outlineLevel="1">
      <c r="A148" s="41"/>
      <c r="B148" s="364"/>
      <c r="C148" s="356"/>
      <c r="D148" s="356"/>
      <c r="E148" s="362"/>
      <c r="F148" s="362"/>
      <c r="G148" s="356"/>
      <c r="H148" s="364"/>
      <c r="I148" s="364"/>
      <c r="J148" s="366"/>
      <c r="K148" s="366"/>
      <c r="L148" s="366"/>
      <c r="M148" s="366"/>
      <c r="N148" s="366"/>
      <c r="O148" s="366"/>
      <c r="P148" s="366"/>
      <c r="Q148" s="366"/>
      <c r="R148" s="369"/>
      <c r="S148" s="369"/>
      <c r="T148" s="366"/>
      <c r="U148" s="427"/>
      <c r="V148" s="427"/>
      <c r="W148" s="372"/>
      <c r="X148" s="373"/>
      <c r="Y148" s="373"/>
      <c r="Z148" s="374"/>
      <c r="AA148" s="374"/>
      <c r="AB148" s="374"/>
      <c r="AC148" s="374"/>
      <c r="AD148" s="369"/>
      <c r="AE148" s="376"/>
      <c r="AF148" s="376"/>
      <c r="AG148" s="376"/>
      <c r="AH148" s="376"/>
      <c r="AI148" s="375"/>
      <c r="AJ148" s="366"/>
      <c r="AK148" s="366"/>
      <c r="AL148" s="366"/>
      <c r="AM148" s="366"/>
      <c r="AN148" s="366"/>
      <c r="AO148" s="366"/>
      <c r="AP148" s="366"/>
      <c r="AQ148" s="366"/>
      <c r="AR148" s="366"/>
      <c r="AS148" s="366"/>
      <c r="AT148" s="366"/>
      <c r="AU148" s="366"/>
      <c r="AV148" s="366"/>
      <c r="AW148" s="366"/>
      <c r="AX148" s="366"/>
      <c r="AY148" s="366"/>
      <c r="AZ148" s="366"/>
      <c r="BA148" s="366"/>
      <c r="BB148" s="366"/>
      <c r="BC148" s="366"/>
      <c r="BD148" s="366"/>
      <c r="BE148" s="366"/>
      <c r="BF148" s="366"/>
      <c r="BG148" s="366"/>
      <c r="BH148" s="366"/>
      <c r="BI148" s="366"/>
      <c r="BJ148" s="366"/>
      <c r="BK148" s="366"/>
      <c r="BL148" s="366"/>
      <c r="BM148" s="366"/>
      <c r="BN148" s="366"/>
      <c r="BO148" s="366"/>
      <c r="BP148" s="366"/>
      <c r="BQ148" s="366"/>
      <c r="BR148" s="366"/>
      <c r="BS148" s="366"/>
      <c r="BT148" s="366"/>
      <c r="BU148" s="366"/>
      <c r="BV148" s="366"/>
      <c r="BW148" s="366"/>
      <c r="BX148" s="366"/>
      <c r="BY148" s="423"/>
      <c r="BZ148" s="423"/>
      <c r="CI148" s="356"/>
      <c r="CJ148" s="356"/>
      <c r="CK148" s="356"/>
      <c r="CP148" s="356"/>
      <c r="CQ148" s="356"/>
      <c r="CR148" s="356"/>
      <c r="CS148" s="356"/>
      <c r="CT148" s="356"/>
      <c r="CU148" s="356"/>
      <c r="CV148" s="356"/>
      <c r="CW148" s="356"/>
      <c r="CX148" s="356"/>
      <c r="CY148" s="356"/>
      <c r="CZ148" s="356"/>
      <c r="DA148" s="356"/>
      <c r="DB148" s="356"/>
      <c r="DC148" s="356"/>
      <c r="DD148" s="356"/>
      <c r="DE148" s="356"/>
      <c r="DF148" s="356"/>
      <c r="DG148" s="356"/>
      <c r="DH148" s="356"/>
      <c r="DI148" s="356"/>
      <c r="DJ148" s="356"/>
      <c r="DK148" s="356"/>
      <c r="DL148" s="356"/>
      <c r="DM148" s="356"/>
      <c r="DN148" s="356"/>
      <c r="DO148" s="356"/>
      <c r="DP148" s="356"/>
      <c r="DQ148" s="356"/>
    </row>
    <row r="149" spans="1:121" hidden="1" outlineLevel="1">
      <c r="A149" s="41"/>
      <c r="B149" s="364"/>
      <c r="C149" s="356"/>
      <c r="D149" s="356"/>
      <c r="E149" s="362"/>
      <c r="F149" s="362"/>
      <c r="G149" s="356"/>
      <c r="H149" s="364"/>
      <c r="I149" s="364"/>
      <c r="J149" s="366"/>
      <c r="K149" s="366"/>
      <c r="L149" s="366"/>
      <c r="M149" s="366"/>
      <c r="N149" s="366"/>
      <c r="O149" s="366"/>
      <c r="P149" s="366"/>
      <c r="Q149" s="366"/>
      <c r="R149" s="369"/>
      <c r="S149" s="369"/>
      <c r="T149" s="366"/>
      <c r="U149" s="427"/>
      <c r="V149" s="427"/>
      <c r="W149" s="372"/>
      <c r="X149" s="373"/>
      <c r="Y149" s="373"/>
      <c r="Z149" s="374"/>
      <c r="AA149" s="374"/>
      <c r="AB149" s="374"/>
      <c r="AC149" s="374"/>
      <c r="AD149" s="369"/>
      <c r="AE149" s="376"/>
      <c r="AF149" s="376"/>
      <c r="AG149" s="376"/>
      <c r="AH149" s="376"/>
      <c r="AI149" s="375"/>
      <c r="AJ149" s="366"/>
      <c r="AK149" s="366"/>
      <c r="AL149" s="366"/>
      <c r="AM149" s="366"/>
      <c r="AN149" s="366"/>
      <c r="AO149" s="366"/>
      <c r="AP149" s="366"/>
      <c r="AQ149" s="366"/>
      <c r="AR149" s="366"/>
      <c r="AS149" s="366"/>
      <c r="AT149" s="366"/>
      <c r="AU149" s="366"/>
      <c r="AV149" s="366"/>
      <c r="AW149" s="366"/>
      <c r="AX149" s="366"/>
      <c r="AY149" s="366"/>
      <c r="AZ149" s="366"/>
      <c r="BA149" s="366"/>
      <c r="BB149" s="366"/>
      <c r="BC149" s="366"/>
      <c r="BD149" s="366"/>
      <c r="BE149" s="366"/>
      <c r="BF149" s="366"/>
      <c r="BG149" s="366"/>
      <c r="BH149" s="366"/>
      <c r="BI149" s="366"/>
      <c r="BJ149" s="366"/>
      <c r="BK149" s="366"/>
      <c r="BL149" s="366"/>
      <c r="BM149" s="366"/>
      <c r="BN149" s="366"/>
      <c r="BO149" s="366"/>
      <c r="BP149" s="366"/>
      <c r="BQ149" s="366"/>
      <c r="BR149" s="366"/>
      <c r="BS149" s="366"/>
      <c r="BT149" s="366"/>
      <c r="BU149" s="366"/>
      <c r="BV149" s="366"/>
      <c r="BW149" s="366"/>
      <c r="BX149" s="366"/>
      <c r="BY149" s="423"/>
      <c r="BZ149" s="423"/>
      <c r="CI149" s="356"/>
      <c r="CJ149" s="356"/>
      <c r="CK149" s="356"/>
      <c r="CP149" s="356"/>
      <c r="CQ149" s="356"/>
      <c r="CR149" s="356"/>
      <c r="CS149" s="356"/>
      <c r="CT149" s="356"/>
      <c r="CU149" s="356"/>
      <c r="CV149" s="356"/>
      <c r="CW149" s="356"/>
      <c r="CX149" s="356"/>
      <c r="CY149" s="356"/>
      <c r="CZ149" s="356"/>
      <c r="DA149" s="356"/>
      <c r="DB149" s="356"/>
      <c r="DC149" s="356"/>
      <c r="DD149" s="356"/>
      <c r="DE149" s="356"/>
      <c r="DF149" s="356"/>
      <c r="DG149" s="356"/>
      <c r="DH149" s="356"/>
      <c r="DI149" s="356"/>
      <c r="DJ149" s="356"/>
      <c r="DK149" s="356"/>
      <c r="DL149" s="356"/>
      <c r="DM149" s="356"/>
      <c r="DN149" s="356"/>
      <c r="DO149" s="356"/>
      <c r="DP149" s="356"/>
      <c r="DQ149" s="356"/>
    </row>
    <row r="150" spans="1:121" hidden="1" outlineLevel="1">
      <c r="A150" s="41"/>
      <c r="B150" s="364"/>
      <c r="C150" s="356"/>
      <c r="D150" s="356"/>
      <c r="E150" s="362"/>
      <c r="F150" s="362"/>
      <c r="G150" s="356"/>
      <c r="H150" s="364"/>
      <c r="I150" s="364"/>
      <c r="J150" s="366"/>
      <c r="K150" s="366"/>
      <c r="L150" s="366"/>
      <c r="M150" s="366"/>
      <c r="N150" s="366"/>
      <c r="O150" s="366"/>
      <c r="P150" s="366"/>
      <c r="Q150" s="366"/>
      <c r="R150" s="369"/>
      <c r="S150" s="369"/>
      <c r="T150" s="366"/>
      <c r="U150" s="427"/>
      <c r="V150" s="427"/>
      <c r="W150" s="372"/>
      <c r="X150" s="373"/>
      <c r="Y150" s="373"/>
      <c r="Z150" s="374"/>
      <c r="AA150" s="374"/>
      <c r="AB150" s="374"/>
      <c r="AC150" s="374"/>
      <c r="AD150" s="369"/>
      <c r="AE150" s="376"/>
      <c r="AF150" s="376"/>
      <c r="AG150" s="376"/>
      <c r="AH150" s="376"/>
      <c r="AI150" s="375"/>
      <c r="AJ150" s="366"/>
      <c r="AK150" s="366"/>
      <c r="AL150" s="366"/>
      <c r="AM150" s="366"/>
      <c r="AN150" s="366"/>
      <c r="AO150" s="366"/>
      <c r="AP150" s="366"/>
      <c r="AQ150" s="366"/>
      <c r="AR150" s="366"/>
      <c r="AS150" s="366"/>
      <c r="AT150" s="366"/>
      <c r="AU150" s="366"/>
      <c r="AV150" s="366"/>
      <c r="AW150" s="366"/>
      <c r="AX150" s="366"/>
      <c r="AY150" s="366"/>
      <c r="AZ150" s="366"/>
      <c r="BA150" s="366"/>
      <c r="BB150" s="366"/>
      <c r="BC150" s="366"/>
      <c r="BD150" s="366"/>
      <c r="BE150" s="366"/>
      <c r="BF150" s="366"/>
      <c r="BG150" s="366"/>
      <c r="BH150" s="366"/>
      <c r="BI150" s="366"/>
      <c r="BJ150" s="366"/>
      <c r="BK150" s="366"/>
      <c r="BL150" s="366"/>
      <c r="BM150" s="366"/>
      <c r="BN150" s="366"/>
      <c r="BO150" s="366"/>
      <c r="BP150" s="366"/>
      <c r="BQ150" s="366"/>
      <c r="BR150" s="366"/>
      <c r="BS150" s="366"/>
      <c r="BT150" s="366"/>
      <c r="BU150" s="366"/>
      <c r="BV150" s="366"/>
      <c r="BW150" s="366"/>
      <c r="BX150" s="366"/>
      <c r="BY150" s="423"/>
      <c r="BZ150" s="423"/>
      <c r="CI150" s="356"/>
      <c r="CJ150" s="356"/>
      <c r="CK150" s="356"/>
      <c r="CP150" s="356"/>
      <c r="CQ150" s="356"/>
      <c r="CR150" s="356"/>
      <c r="CS150" s="356"/>
      <c r="CT150" s="356"/>
      <c r="CU150" s="356"/>
      <c r="CV150" s="356"/>
      <c r="CW150" s="356"/>
      <c r="CX150" s="356"/>
      <c r="CY150" s="356"/>
      <c r="CZ150" s="356"/>
      <c r="DA150" s="356"/>
      <c r="DB150" s="356"/>
      <c r="DC150" s="356"/>
      <c r="DD150" s="356"/>
      <c r="DE150" s="356"/>
      <c r="DF150" s="356"/>
      <c r="DG150" s="356"/>
      <c r="DH150" s="356"/>
      <c r="DI150" s="356"/>
      <c r="DJ150" s="356"/>
      <c r="DK150" s="356"/>
      <c r="DL150" s="356"/>
      <c r="DM150" s="356"/>
      <c r="DN150" s="356"/>
      <c r="DO150" s="356"/>
      <c r="DP150" s="356"/>
      <c r="DQ150" s="356"/>
    </row>
    <row r="151" spans="1:121" hidden="1" outlineLevel="1">
      <c r="A151" s="41"/>
      <c r="B151" s="364"/>
      <c r="C151" s="356"/>
      <c r="D151" s="356"/>
      <c r="E151" s="362"/>
      <c r="F151" s="362"/>
      <c r="G151" s="356"/>
      <c r="H151" s="364"/>
      <c r="I151" s="364"/>
      <c r="J151" s="366"/>
      <c r="K151" s="366"/>
      <c r="L151" s="366"/>
      <c r="M151" s="366"/>
      <c r="N151" s="366"/>
      <c r="O151" s="366"/>
      <c r="P151" s="366"/>
      <c r="Q151" s="366"/>
      <c r="R151" s="369"/>
      <c r="S151" s="369"/>
      <c r="T151" s="366"/>
      <c r="U151" s="427"/>
      <c r="V151" s="427"/>
      <c r="W151" s="372"/>
      <c r="X151" s="373"/>
      <c r="Y151" s="373"/>
      <c r="Z151" s="374"/>
      <c r="AA151" s="374"/>
      <c r="AB151" s="374"/>
      <c r="AC151" s="374"/>
      <c r="AD151" s="369"/>
      <c r="AE151" s="376"/>
      <c r="AF151" s="376"/>
      <c r="AG151" s="376"/>
      <c r="AH151" s="376"/>
      <c r="AI151" s="375"/>
      <c r="AJ151" s="366"/>
      <c r="AK151" s="366"/>
      <c r="AL151" s="366"/>
      <c r="AM151" s="366"/>
      <c r="AN151" s="366"/>
      <c r="AO151" s="366"/>
      <c r="AP151" s="366"/>
      <c r="AQ151" s="366"/>
      <c r="AR151" s="366"/>
      <c r="AS151" s="366"/>
      <c r="AT151" s="366"/>
      <c r="AU151" s="366"/>
      <c r="AV151" s="366"/>
      <c r="AW151" s="366"/>
      <c r="AX151" s="366"/>
      <c r="AY151" s="366"/>
      <c r="AZ151" s="366"/>
      <c r="BA151" s="366"/>
      <c r="BB151" s="366"/>
      <c r="BC151" s="366"/>
      <c r="BD151" s="366"/>
      <c r="BE151" s="366"/>
      <c r="BF151" s="366"/>
      <c r="BG151" s="366"/>
      <c r="BH151" s="366"/>
      <c r="BI151" s="366"/>
      <c r="BJ151" s="366"/>
      <c r="BK151" s="366"/>
      <c r="BL151" s="366"/>
      <c r="BM151" s="366"/>
      <c r="BN151" s="366"/>
      <c r="BO151" s="366"/>
      <c r="BP151" s="366"/>
      <c r="BQ151" s="366"/>
      <c r="BR151" s="366"/>
      <c r="BS151" s="366"/>
      <c r="BT151" s="366"/>
      <c r="BU151" s="366"/>
      <c r="BV151" s="366"/>
      <c r="BW151" s="366"/>
      <c r="BX151" s="366"/>
      <c r="BY151" s="423"/>
      <c r="BZ151" s="423"/>
      <c r="CI151" s="356"/>
      <c r="CJ151" s="356"/>
      <c r="CK151" s="356"/>
      <c r="CP151" s="356"/>
      <c r="CQ151" s="356"/>
      <c r="CR151" s="356"/>
      <c r="CS151" s="356"/>
      <c r="CT151" s="356"/>
      <c r="CU151" s="356"/>
      <c r="CV151" s="356"/>
      <c r="CW151" s="356"/>
      <c r="CX151" s="356"/>
      <c r="CY151" s="356"/>
      <c r="CZ151" s="356"/>
      <c r="DA151" s="356"/>
      <c r="DB151" s="356"/>
      <c r="DC151" s="356"/>
      <c r="DD151" s="356"/>
      <c r="DE151" s="356"/>
      <c r="DF151" s="356"/>
      <c r="DG151" s="356"/>
      <c r="DH151" s="356"/>
      <c r="DI151" s="356"/>
      <c r="DJ151" s="356"/>
      <c r="DK151" s="356"/>
      <c r="DL151" s="356"/>
      <c r="DM151" s="356"/>
      <c r="DN151" s="356"/>
      <c r="DO151" s="356"/>
      <c r="DP151" s="356"/>
      <c r="DQ151" s="356"/>
    </row>
    <row r="152" spans="1:121" hidden="1" outlineLevel="1">
      <c r="A152" s="41"/>
      <c r="B152" s="364"/>
      <c r="C152" s="356"/>
      <c r="D152" s="356"/>
      <c r="E152" s="362"/>
      <c r="F152" s="362"/>
      <c r="G152" s="356"/>
      <c r="H152" s="364"/>
      <c r="I152" s="364"/>
      <c r="J152" s="366"/>
      <c r="K152" s="366"/>
      <c r="L152" s="366"/>
      <c r="M152" s="366"/>
      <c r="N152" s="366"/>
      <c r="O152" s="366"/>
      <c r="P152" s="366"/>
      <c r="Q152" s="366"/>
      <c r="R152" s="369"/>
      <c r="S152" s="369"/>
      <c r="T152" s="366"/>
      <c r="U152" s="427"/>
      <c r="V152" s="427"/>
      <c r="W152" s="372"/>
      <c r="X152" s="373"/>
      <c r="Y152" s="373"/>
      <c r="Z152" s="374"/>
      <c r="AA152" s="374"/>
      <c r="AB152" s="374"/>
      <c r="AC152" s="374"/>
      <c r="AD152" s="369"/>
      <c r="AE152" s="376"/>
      <c r="AF152" s="376"/>
      <c r="AG152" s="376"/>
      <c r="AH152" s="376"/>
      <c r="AI152" s="375"/>
      <c r="AJ152" s="366"/>
      <c r="AK152" s="366"/>
      <c r="AL152" s="366"/>
      <c r="AM152" s="366"/>
      <c r="AN152" s="366"/>
      <c r="AO152" s="366"/>
      <c r="AP152" s="366"/>
      <c r="AQ152" s="366"/>
      <c r="AR152" s="366"/>
      <c r="AS152" s="366"/>
      <c r="AT152" s="366"/>
      <c r="AU152" s="366"/>
      <c r="AV152" s="366"/>
      <c r="AW152" s="366"/>
      <c r="AX152" s="366"/>
      <c r="AY152" s="366"/>
      <c r="AZ152" s="366"/>
      <c r="BA152" s="366"/>
      <c r="BB152" s="366"/>
      <c r="BC152" s="366"/>
      <c r="BD152" s="366"/>
      <c r="BE152" s="366"/>
      <c r="BF152" s="366"/>
      <c r="BG152" s="366"/>
      <c r="BH152" s="366"/>
      <c r="BI152" s="366"/>
      <c r="BJ152" s="366"/>
      <c r="BK152" s="366"/>
      <c r="BL152" s="366"/>
      <c r="BM152" s="366"/>
      <c r="BN152" s="366"/>
      <c r="BO152" s="366"/>
      <c r="BP152" s="366"/>
      <c r="BQ152" s="366"/>
      <c r="BR152" s="366"/>
      <c r="BS152" s="366"/>
      <c r="BT152" s="366"/>
      <c r="BU152" s="366"/>
      <c r="BV152" s="366"/>
      <c r="BW152" s="366"/>
      <c r="BX152" s="366"/>
      <c r="BY152" s="423"/>
      <c r="BZ152" s="423"/>
      <c r="CI152" s="356"/>
      <c r="CJ152" s="356"/>
      <c r="CK152" s="356"/>
      <c r="CP152" s="356"/>
      <c r="CQ152" s="356"/>
      <c r="CR152" s="356"/>
      <c r="CS152" s="356"/>
      <c r="CT152" s="356"/>
      <c r="CU152" s="356"/>
      <c r="CV152" s="356"/>
      <c r="CW152" s="356"/>
      <c r="CX152" s="356"/>
      <c r="CY152" s="356"/>
      <c r="CZ152" s="356"/>
      <c r="DA152" s="356"/>
      <c r="DB152" s="356"/>
      <c r="DC152" s="356"/>
      <c r="DD152" s="356"/>
      <c r="DE152" s="356"/>
      <c r="DF152" s="356"/>
      <c r="DG152" s="356"/>
      <c r="DH152" s="356"/>
      <c r="DI152" s="356"/>
      <c r="DJ152" s="356"/>
      <c r="DK152" s="356"/>
      <c r="DL152" s="356"/>
      <c r="DM152" s="356"/>
      <c r="DN152" s="356"/>
      <c r="DO152" s="356"/>
      <c r="DP152" s="356"/>
      <c r="DQ152" s="356"/>
    </row>
    <row r="153" spans="1:121" hidden="1" outlineLevel="1">
      <c r="A153" s="41"/>
      <c r="B153" s="364"/>
      <c r="C153" s="356"/>
      <c r="D153" s="356"/>
      <c r="E153" s="362"/>
      <c r="F153" s="362"/>
      <c r="G153" s="356"/>
      <c r="H153" s="364"/>
      <c r="I153" s="364"/>
      <c r="J153" s="366"/>
      <c r="K153" s="366"/>
      <c r="L153" s="366"/>
      <c r="M153" s="366"/>
      <c r="N153" s="366"/>
      <c r="O153" s="366"/>
      <c r="P153" s="366"/>
      <c r="Q153" s="366"/>
      <c r="R153" s="369"/>
      <c r="S153" s="369"/>
      <c r="T153" s="366"/>
      <c r="U153" s="427"/>
      <c r="V153" s="427"/>
      <c r="W153" s="372"/>
      <c r="X153" s="373"/>
      <c r="Y153" s="373"/>
      <c r="Z153" s="374"/>
      <c r="AA153" s="374"/>
      <c r="AB153" s="374"/>
      <c r="AC153" s="374"/>
      <c r="AD153" s="369"/>
      <c r="AE153" s="376"/>
      <c r="AF153" s="376"/>
      <c r="AG153" s="376"/>
      <c r="AH153" s="376"/>
      <c r="AI153" s="375"/>
      <c r="AJ153" s="366"/>
      <c r="AK153" s="366"/>
      <c r="AL153" s="366"/>
      <c r="AM153" s="366"/>
      <c r="AN153" s="366"/>
      <c r="AO153" s="366"/>
      <c r="AP153" s="366"/>
      <c r="AQ153" s="366"/>
      <c r="AR153" s="366"/>
      <c r="AS153" s="366"/>
      <c r="AT153" s="366"/>
      <c r="AU153" s="366"/>
      <c r="AV153" s="366"/>
      <c r="AW153" s="366"/>
      <c r="AX153" s="366"/>
      <c r="AY153" s="366"/>
      <c r="AZ153" s="366"/>
      <c r="BA153" s="366"/>
      <c r="BB153" s="366"/>
      <c r="BC153" s="366"/>
      <c r="BD153" s="366"/>
      <c r="BE153" s="366"/>
      <c r="BF153" s="366"/>
      <c r="BG153" s="366"/>
      <c r="BH153" s="366"/>
      <c r="BI153" s="366"/>
      <c r="BJ153" s="366"/>
      <c r="BK153" s="366"/>
      <c r="BL153" s="366"/>
      <c r="BM153" s="366"/>
      <c r="BN153" s="366"/>
      <c r="BO153" s="366"/>
      <c r="BP153" s="366"/>
      <c r="BQ153" s="366"/>
      <c r="BR153" s="366"/>
      <c r="BS153" s="366"/>
      <c r="BT153" s="366"/>
      <c r="BU153" s="366"/>
      <c r="BV153" s="366"/>
      <c r="BW153" s="366"/>
      <c r="BX153" s="366"/>
      <c r="BY153" s="423"/>
      <c r="BZ153" s="423"/>
      <c r="CI153" s="356"/>
      <c r="CJ153" s="356"/>
      <c r="CK153" s="356"/>
      <c r="CP153" s="356"/>
      <c r="CQ153" s="356"/>
      <c r="CR153" s="356"/>
      <c r="CS153" s="356"/>
      <c r="CT153" s="356"/>
      <c r="CU153" s="356"/>
      <c r="CV153" s="356"/>
      <c r="CW153" s="356"/>
      <c r="CX153" s="356"/>
      <c r="CY153" s="356"/>
      <c r="CZ153" s="356"/>
      <c r="DA153" s="356"/>
      <c r="DB153" s="356"/>
      <c r="DC153" s="356"/>
      <c r="DD153" s="356"/>
      <c r="DE153" s="356"/>
      <c r="DF153" s="356"/>
      <c r="DG153" s="356"/>
      <c r="DH153" s="356"/>
      <c r="DI153" s="356"/>
      <c r="DJ153" s="356"/>
      <c r="DK153" s="356"/>
      <c r="DL153" s="356"/>
      <c r="DM153" s="356"/>
      <c r="DN153" s="356"/>
      <c r="DO153" s="356"/>
      <c r="DP153" s="356"/>
      <c r="DQ153" s="356"/>
    </row>
    <row r="154" spans="1:121" hidden="1" outlineLevel="1">
      <c r="A154" s="41"/>
      <c r="B154" s="364"/>
      <c r="C154" s="356"/>
      <c r="D154" s="356"/>
      <c r="E154" s="362"/>
      <c r="F154" s="362"/>
      <c r="G154" s="356"/>
      <c r="H154" s="364"/>
      <c r="I154" s="364"/>
      <c r="J154" s="366"/>
      <c r="K154" s="366"/>
      <c r="L154" s="366"/>
      <c r="M154" s="366"/>
      <c r="N154" s="366"/>
      <c r="O154" s="366"/>
      <c r="P154" s="366"/>
      <c r="Q154" s="366"/>
      <c r="R154" s="369"/>
      <c r="S154" s="369"/>
      <c r="T154" s="366"/>
      <c r="U154" s="427"/>
      <c r="V154" s="427"/>
      <c r="W154" s="372"/>
      <c r="X154" s="373"/>
      <c r="Y154" s="373"/>
      <c r="Z154" s="374"/>
      <c r="AA154" s="374"/>
      <c r="AB154" s="374"/>
      <c r="AC154" s="374"/>
      <c r="AD154" s="369"/>
      <c r="AE154" s="376"/>
      <c r="AF154" s="376"/>
      <c r="AG154" s="376"/>
      <c r="AH154" s="376"/>
      <c r="AI154" s="375"/>
      <c r="AJ154" s="366"/>
      <c r="AK154" s="366"/>
      <c r="AL154" s="366"/>
      <c r="AM154" s="366"/>
      <c r="AN154" s="366"/>
      <c r="AO154" s="366"/>
      <c r="AP154" s="366"/>
      <c r="AQ154" s="366"/>
      <c r="AR154" s="366"/>
      <c r="AS154" s="366"/>
      <c r="AT154" s="366"/>
      <c r="AU154" s="366"/>
      <c r="AV154" s="366"/>
      <c r="AW154" s="366"/>
      <c r="AX154" s="366"/>
      <c r="AY154" s="366"/>
      <c r="AZ154" s="366"/>
      <c r="BA154" s="366"/>
      <c r="BB154" s="366"/>
      <c r="BC154" s="366"/>
      <c r="BD154" s="366"/>
      <c r="BE154" s="366"/>
      <c r="BF154" s="366"/>
      <c r="BG154" s="366"/>
      <c r="BH154" s="366"/>
      <c r="BI154" s="366"/>
      <c r="BJ154" s="366"/>
      <c r="BK154" s="366"/>
      <c r="BL154" s="366"/>
      <c r="BM154" s="366"/>
      <c r="BN154" s="366"/>
      <c r="BO154" s="366"/>
      <c r="BP154" s="366"/>
      <c r="BQ154" s="366"/>
      <c r="BR154" s="366"/>
      <c r="BS154" s="366"/>
      <c r="BT154" s="366"/>
      <c r="BU154" s="366"/>
      <c r="BV154" s="366"/>
      <c r="BW154" s="366"/>
      <c r="BX154" s="366"/>
      <c r="BY154" s="423"/>
      <c r="BZ154" s="423"/>
      <c r="CI154" s="356"/>
      <c r="CJ154" s="356"/>
      <c r="CK154" s="356"/>
      <c r="CP154" s="356"/>
      <c r="CQ154" s="356"/>
      <c r="CR154" s="356"/>
      <c r="CS154" s="356"/>
      <c r="CT154" s="356"/>
      <c r="CU154" s="356"/>
      <c r="CV154" s="356"/>
      <c r="CW154" s="356"/>
      <c r="CX154" s="356"/>
      <c r="CY154" s="356"/>
      <c r="CZ154" s="356"/>
      <c r="DA154" s="356"/>
      <c r="DB154" s="356"/>
      <c r="DC154" s="356"/>
      <c r="DD154" s="356"/>
      <c r="DE154" s="356"/>
      <c r="DF154" s="356"/>
      <c r="DG154" s="356"/>
      <c r="DH154" s="356"/>
      <c r="DI154" s="356"/>
      <c r="DJ154" s="356"/>
      <c r="DK154" s="356"/>
      <c r="DL154" s="356"/>
      <c r="DM154" s="356"/>
      <c r="DN154" s="356"/>
      <c r="DO154" s="356"/>
      <c r="DP154" s="356"/>
      <c r="DQ154" s="356"/>
    </row>
    <row r="155" spans="1:121" hidden="1" outlineLevel="1">
      <c r="A155" s="41"/>
      <c r="B155" s="364"/>
      <c r="C155" s="356"/>
      <c r="D155" s="356"/>
      <c r="E155" s="362"/>
      <c r="F155" s="362"/>
      <c r="G155" s="356"/>
      <c r="H155" s="364"/>
      <c r="I155" s="364"/>
      <c r="J155" s="366"/>
      <c r="K155" s="366"/>
      <c r="L155" s="366"/>
      <c r="M155" s="366"/>
      <c r="N155" s="366"/>
      <c r="O155" s="366"/>
      <c r="P155" s="366"/>
      <c r="Q155" s="366"/>
      <c r="R155" s="369"/>
      <c r="S155" s="369"/>
      <c r="T155" s="366"/>
      <c r="U155" s="427"/>
      <c r="V155" s="427"/>
      <c r="W155" s="372"/>
      <c r="X155" s="373"/>
      <c r="Y155" s="373"/>
      <c r="Z155" s="374"/>
      <c r="AA155" s="374"/>
      <c r="AB155" s="374"/>
      <c r="AC155" s="374"/>
      <c r="AD155" s="369"/>
      <c r="AE155" s="376"/>
      <c r="AF155" s="376"/>
      <c r="AG155" s="376"/>
      <c r="AH155" s="376"/>
      <c r="AI155" s="375"/>
      <c r="AJ155" s="366"/>
      <c r="AK155" s="366"/>
      <c r="AL155" s="366"/>
      <c r="AM155" s="366"/>
      <c r="AN155" s="366"/>
      <c r="AO155" s="366"/>
      <c r="AP155" s="366"/>
      <c r="AQ155" s="366"/>
      <c r="AR155" s="366"/>
      <c r="AS155" s="366"/>
      <c r="AT155" s="366"/>
      <c r="AU155" s="366"/>
      <c r="AV155" s="366"/>
      <c r="AW155" s="366"/>
      <c r="AX155" s="366"/>
      <c r="AY155" s="366"/>
      <c r="AZ155" s="366"/>
      <c r="BA155" s="366"/>
      <c r="BB155" s="366"/>
      <c r="BC155" s="366"/>
      <c r="BD155" s="366"/>
      <c r="BE155" s="366"/>
      <c r="BF155" s="366"/>
      <c r="BG155" s="366"/>
      <c r="BH155" s="366"/>
      <c r="BI155" s="366"/>
      <c r="BJ155" s="366"/>
      <c r="BK155" s="366"/>
      <c r="BL155" s="366"/>
      <c r="BM155" s="366"/>
      <c r="BN155" s="366"/>
      <c r="BO155" s="366"/>
      <c r="BP155" s="366"/>
      <c r="BQ155" s="366"/>
      <c r="BR155" s="366"/>
      <c r="BS155" s="366"/>
      <c r="BT155" s="366"/>
      <c r="BU155" s="366"/>
      <c r="BV155" s="366"/>
      <c r="BW155" s="366"/>
      <c r="BX155" s="366"/>
      <c r="BY155" s="423"/>
      <c r="BZ155" s="423"/>
      <c r="CI155" s="356"/>
      <c r="CJ155" s="356"/>
      <c r="CK155" s="356"/>
      <c r="CP155" s="356"/>
      <c r="CQ155" s="356"/>
      <c r="CR155" s="356"/>
      <c r="CS155" s="356"/>
      <c r="CT155" s="356"/>
      <c r="CU155" s="356"/>
      <c r="CV155" s="356"/>
      <c r="CW155" s="356"/>
      <c r="CX155" s="356"/>
      <c r="CY155" s="356"/>
      <c r="CZ155" s="356"/>
      <c r="DA155" s="356"/>
      <c r="DB155" s="356"/>
      <c r="DC155" s="356"/>
      <c r="DD155" s="356"/>
      <c r="DE155" s="356"/>
      <c r="DF155" s="356"/>
      <c r="DG155" s="356"/>
      <c r="DH155" s="356"/>
      <c r="DI155" s="356"/>
      <c r="DJ155" s="356"/>
      <c r="DK155" s="356"/>
      <c r="DL155" s="356"/>
      <c r="DM155" s="356"/>
      <c r="DN155" s="356"/>
      <c r="DO155" s="356"/>
      <c r="DP155" s="356"/>
      <c r="DQ155" s="356"/>
    </row>
    <row r="156" spans="1:121" hidden="1" outlineLevel="1">
      <c r="A156" s="41"/>
      <c r="B156" s="364"/>
      <c r="C156" s="356"/>
      <c r="D156" s="356"/>
      <c r="E156" s="362"/>
      <c r="F156" s="362"/>
      <c r="G156" s="356"/>
      <c r="H156" s="364"/>
      <c r="I156" s="364"/>
      <c r="J156" s="366"/>
      <c r="K156" s="366"/>
      <c r="L156" s="366"/>
      <c r="M156" s="366"/>
      <c r="N156" s="366"/>
      <c r="O156" s="366"/>
      <c r="P156" s="366"/>
      <c r="Q156" s="366"/>
      <c r="R156" s="369"/>
      <c r="S156" s="369"/>
      <c r="T156" s="366"/>
      <c r="U156" s="427"/>
      <c r="V156" s="427"/>
      <c r="W156" s="372"/>
      <c r="X156" s="373"/>
      <c r="Y156" s="373"/>
      <c r="Z156" s="374"/>
      <c r="AA156" s="374"/>
      <c r="AB156" s="374"/>
      <c r="AC156" s="374"/>
      <c r="AD156" s="369"/>
      <c r="AE156" s="376"/>
      <c r="AF156" s="376"/>
      <c r="AG156" s="376"/>
      <c r="AH156" s="376"/>
      <c r="AI156" s="375"/>
      <c r="AJ156" s="366"/>
      <c r="AK156" s="366"/>
      <c r="AL156" s="366"/>
      <c r="AM156" s="366"/>
      <c r="AN156" s="366"/>
      <c r="AO156" s="366"/>
      <c r="AP156" s="366"/>
      <c r="AQ156" s="366"/>
      <c r="AR156" s="366"/>
      <c r="AS156" s="366"/>
      <c r="AT156" s="366"/>
      <c r="AU156" s="366"/>
      <c r="AV156" s="366"/>
      <c r="AW156" s="366"/>
      <c r="AX156" s="366"/>
      <c r="AY156" s="366"/>
      <c r="AZ156" s="366"/>
      <c r="BA156" s="366"/>
      <c r="BB156" s="366"/>
      <c r="BC156" s="366"/>
      <c r="BD156" s="366"/>
      <c r="BE156" s="366"/>
      <c r="BF156" s="366"/>
      <c r="BG156" s="366"/>
      <c r="BH156" s="366"/>
      <c r="BI156" s="366"/>
      <c r="BJ156" s="366"/>
      <c r="BK156" s="366"/>
      <c r="BL156" s="366"/>
      <c r="BM156" s="366"/>
      <c r="BN156" s="366"/>
      <c r="BO156" s="366"/>
      <c r="BP156" s="366"/>
      <c r="BQ156" s="366"/>
      <c r="BR156" s="366"/>
      <c r="BS156" s="366"/>
      <c r="BT156" s="366"/>
      <c r="BU156" s="366"/>
      <c r="BV156" s="366"/>
      <c r="BW156" s="366"/>
      <c r="BX156" s="366"/>
      <c r="BY156" s="423"/>
      <c r="BZ156" s="423"/>
      <c r="CI156" s="356"/>
      <c r="CJ156" s="356"/>
      <c r="CK156" s="356"/>
      <c r="CP156" s="356"/>
      <c r="CQ156" s="356"/>
      <c r="CR156" s="356"/>
      <c r="CS156" s="356"/>
      <c r="CT156" s="356"/>
      <c r="CU156" s="356"/>
      <c r="CV156" s="356"/>
      <c r="CW156" s="356"/>
      <c r="CX156" s="356"/>
      <c r="CY156" s="356"/>
      <c r="CZ156" s="356"/>
      <c r="DA156" s="356"/>
      <c r="DB156" s="356"/>
      <c r="DC156" s="356"/>
      <c r="DD156" s="356"/>
      <c r="DE156" s="356"/>
      <c r="DF156" s="356"/>
      <c r="DG156" s="356"/>
      <c r="DH156" s="356"/>
      <c r="DI156" s="356"/>
      <c r="DJ156" s="356"/>
      <c r="DK156" s="356"/>
      <c r="DL156" s="356"/>
      <c r="DM156" s="356"/>
      <c r="DN156" s="356"/>
      <c r="DO156" s="356"/>
      <c r="DP156" s="356"/>
      <c r="DQ156" s="356"/>
    </row>
    <row r="157" spans="1:121" hidden="1" outlineLevel="1">
      <c r="A157" s="41"/>
      <c r="B157" s="364"/>
      <c r="C157" s="356"/>
      <c r="D157" s="356"/>
      <c r="E157" s="362"/>
      <c r="F157" s="362"/>
      <c r="G157" s="356"/>
      <c r="H157" s="364"/>
      <c r="I157" s="364"/>
      <c r="J157" s="366"/>
      <c r="K157" s="366"/>
      <c r="L157" s="366"/>
      <c r="M157" s="366"/>
      <c r="N157" s="366"/>
      <c r="O157" s="366"/>
      <c r="P157" s="366"/>
      <c r="Q157" s="366"/>
      <c r="R157" s="369"/>
      <c r="S157" s="369"/>
      <c r="T157" s="366"/>
      <c r="U157" s="427"/>
      <c r="V157" s="427"/>
      <c r="W157" s="372"/>
      <c r="X157" s="373"/>
      <c r="Y157" s="373"/>
      <c r="Z157" s="374"/>
      <c r="AA157" s="374"/>
      <c r="AB157" s="374"/>
      <c r="AC157" s="374"/>
      <c r="AD157" s="369"/>
      <c r="AE157" s="376"/>
      <c r="AF157" s="376"/>
      <c r="AG157" s="376"/>
      <c r="AH157" s="376"/>
      <c r="AI157" s="375"/>
      <c r="AJ157" s="366"/>
      <c r="AK157" s="366"/>
      <c r="AL157" s="366"/>
      <c r="AM157" s="366"/>
      <c r="AN157" s="366"/>
      <c r="AO157" s="366"/>
      <c r="AP157" s="366"/>
      <c r="AQ157" s="366"/>
      <c r="AR157" s="366"/>
      <c r="AS157" s="366"/>
      <c r="AT157" s="366"/>
      <c r="AU157" s="366"/>
      <c r="AV157" s="366"/>
      <c r="AW157" s="366"/>
      <c r="AX157" s="366"/>
      <c r="AY157" s="366"/>
      <c r="AZ157" s="366"/>
      <c r="BA157" s="366"/>
      <c r="BB157" s="366"/>
      <c r="BC157" s="366"/>
      <c r="BD157" s="366"/>
      <c r="BE157" s="366"/>
      <c r="BF157" s="366"/>
      <c r="BG157" s="366"/>
      <c r="BH157" s="366"/>
      <c r="BI157" s="366"/>
      <c r="BJ157" s="366"/>
      <c r="BK157" s="366"/>
      <c r="BL157" s="366"/>
      <c r="BM157" s="366"/>
      <c r="BN157" s="366"/>
      <c r="BO157" s="366"/>
      <c r="BP157" s="366"/>
      <c r="BQ157" s="366"/>
      <c r="BR157" s="366"/>
      <c r="BS157" s="366"/>
      <c r="BT157" s="366"/>
      <c r="BU157" s="366"/>
      <c r="BV157" s="366"/>
      <c r="BW157" s="366"/>
      <c r="BX157" s="366"/>
      <c r="BY157" s="423"/>
      <c r="BZ157" s="423"/>
      <c r="CI157" s="356"/>
      <c r="CJ157" s="356"/>
      <c r="CK157" s="356"/>
      <c r="CP157" s="356"/>
      <c r="CQ157" s="356"/>
      <c r="CR157" s="356"/>
      <c r="CS157" s="356"/>
      <c r="CT157" s="356"/>
      <c r="CU157" s="356"/>
      <c r="CV157" s="356"/>
      <c r="CW157" s="356"/>
      <c r="CX157" s="356"/>
      <c r="CY157" s="356"/>
      <c r="CZ157" s="356"/>
      <c r="DA157" s="356"/>
      <c r="DB157" s="356"/>
      <c r="DC157" s="356"/>
      <c r="DD157" s="356"/>
      <c r="DE157" s="356"/>
      <c r="DF157" s="356"/>
      <c r="DG157" s="356"/>
      <c r="DH157" s="356"/>
      <c r="DI157" s="356"/>
      <c r="DJ157" s="356"/>
      <c r="DK157" s="356"/>
      <c r="DL157" s="356"/>
      <c r="DM157" s="356"/>
      <c r="DN157" s="356"/>
      <c r="DO157" s="356"/>
      <c r="DP157" s="356"/>
      <c r="DQ157" s="356"/>
    </row>
    <row r="158" spans="1:121" hidden="1" outlineLevel="1">
      <c r="A158" s="41"/>
      <c r="B158" s="364"/>
      <c r="C158" s="356"/>
      <c r="D158" s="356"/>
      <c r="E158" s="362"/>
      <c r="F158" s="362"/>
      <c r="G158" s="356"/>
      <c r="H158" s="364"/>
      <c r="I158" s="364"/>
      <c r="J158" s="366"/>
      <c r="K158" s="366"/>
      <c r="L158" s="366"/>
      <c r="M158" s="366"/>
      <c r="N158" s="366"/>
      <c r="O158" s="366"/>
      <c r="P158" s="366"/>
      <c r="Q158" s="366"/>
      <c r="R158" s="369"/>
      <c r="S158" s="369"/>
      <c r="T158" s="366"/>
      <c r="U158" s="427"/>
      <c r="V158" s="427"/>
      <c r="W158" s="372"/>
      <c r="X158" s="373"/>
      <c r="Y158" s="373"/>
      <c r="Z158" s="374"/>
      <c r="AA158" s="374"/>
      <c r="AB158" s="374"/>
      <c r="AC158" s="374"/>
      <c r="AD158" s="369"/>
      <c r="AE158" s="376"/>
      <c r="AF158" s="376"/>
      <c r="AG158" s="376"/>
      <c r="AH158" s="376"/>
      <c r="AI158" s="375"/>
      <c r="AJ158" s="366"/>
      <c r="AK158" s="366"/>
      <c r="AL158" s="366"/>
      <c r="AM158" s="366"/>
      <c r="AN158" s="366"/>
      <c r="AO158" s="366"/>
      <c r="AP158" s="366"/>
      <c r="AQ158" s="366"/>
      <c r="AR158" s="366"/>
      <c r="AS158" s="366"/>
      <c r="AT158" s="366"/>
      <c r="AU158" s="366"/>
      <c r="AV158" s="366"/>
      <c r="AW158" s="366"/>
      <c r="AX158" s="366"/>
      <c r="AY158" s="366"/>
      <c r="AZ158" s="366"/>
      <c r="BA158" s="366"/>
      <c r="BB158" s="366"/>
      <c r="BC158" s="366"/>
      <c r="BD158" s="366"/>
      <c r="BE158" s="366"/>
      <c r="BF158" s="366"/>
      <c r="BG158" s="366"/>
      <c r="BH158" s="366"/>
      <c r="BI158" s="366"/>
      <c r="BJ158" s="366"/>
      <c r="BK158" s="366"/>
      <c r="BL158" s="366"/>
      <c r="BM158" s="366"/>
      <c r="BN158" s="366"/>
      <c r="BO158" s="366"/>
      <c r="BP158" s="366"/>
      <c r="BQ158" s="366"/>
      <c r="BR158" s="366"/>
      <c r="BS158" s="366"/>
      <c r="BT158" s="366"/>
      <c r="BU158" s="366"/>
      <c r="BV158" s="366"/>
      <c r="BW158" s="366"/>
      <c r="BX158" s="366"/>
      <c r="BY158" s="423"/>
      <c r="BZ158" s="423"/>
      <c r="CI158" s="356"/>
      <c r="CJ158" s="356"/>
      <c r="CK158" s="356"/>
      <c r="CP158" s="356"/>
      <c r="CQ158" s="356"/>
      <c r="CR158" s="356"/>
      <c r="CS158" s="356"/>
      <c r="CT158" s="356"/>
      <c r="CU158" s="356"/>
      <c r="CV158" s="356"/>
      <c r="CW158" s="356"/>
      <c r="CX158" s="356"/>
      <c r="CY158" s="356"/>
      <c r="CZ158" s="356"/>
      <c r="DA158" s="356"/>
      <c r="DB158" s="356"/>
      <c r="DC158" s="356"/>
      <c r="DD158" s="356"/>
      <c r="DE158" s="356"/>
      <c r="DF158" s="356"/>
      <c r="DG158" s="356"/>
      <c r="DH158" s="356"/>
      <c r="DI158" s="356"/>
      <c r="DJ158" s="356"/>
      <c r="DK158" s="356"/>
      <c r="DL158" s="356"/>
      <c r="DM158" s="356"/>
      <c r="DN158" s="356"/>
      <c r="DO158" s="356"/>
      <c r="DP158" s="356"/>
      <c r="DQ158" s="356"/>
    </row>
    <row r="159" spans="1:121" hidden="1" outlineLevel="1">
      <c r="A159" s="41"/>
      <c r="B159" s="364"/>
      <c r="C159" s="356"/>
      <c r="D159" s="356"/>
      <c r="E159" s="362"/>
      <c r="F159" s="362"/>
      <c r="G159" s="356"/>
      <c r="H159" s="364"/>
      <c r="I159" s="364"/>
      <c r="J159" s="366"/>
      <c r="K159" s="366"/>
      <c r="L159" s="366"/>
      <c r="M159" s="366"/>
      <c r="N159" s="366"/>
      <c r="O159" s="366"/>
      <c r="P159" s="366"/>
      <c r="Q159" s="366"/>
      <c r="R159" s="369"/>
      <c r="S159" s="369"/>
      <c r="T159" s="366"/>
      <c r="U159" s="427"/>
      <c r="V159" s="427"/>
      <c r="W159" s="372"/>
      <c r="X159" s="373"/>
      <c r="Y159" s="373"/>
      <c r="Z159" s="374"/>
      <c r="AA159" s="374"/>
      <c r="AB159" s="374"/>
      <c r="AC159" s="374"/>
      <c r="AD159" s="369"/>
      <c r="AE159" s="376"/>
      <c r="AF159" s="376"/>
      <c r="AG159" s="376"/>
      <c r="AH159" s="376"/>
      <c r="AI159" s="375"/>
      <c r="AJ159" s="366"/>
      <c r="AK159" s="366"/>
      <c r="AL159" s="366"/>
      <c r="AM159" s="366"/>
      <c r="AN159" s="366"/>
      <c r="AO159" s="366"/>
      <c r="AP159" s="366"/>
      <c r="AQ159" s="366"/>
      <c r="AR159" s="366"/>
      <c r="AS159" s="366"/>
      <c r="AT159" s="366"/>
      <c r="AU159" s="366"/>
      <c r="AV159" s="366"/>
      <c r="AW159" s="366"/>
      <c r="AX159" s="366"/>
      <c r="AY159" s="366"/>
      <c r="AZ159" s="366"/>
      <c r="BA159" s="366"/>
      <c r="BB159" s="366"/>
      <c r="BC159" s="366"/>
      <c r="BD159" s="366"/>
      <c r="BE159" s="366"/>
      <c r="BF159" s="366"/>
      <c r="BG159" s="366"/>
      <c r="BH159" s="366"/>
      <c r="BI159" s="366"/>
      <c r="BJ159" s="366"/>
      <c r="BK159" s="366"/>
      <c r="BL159" s="366"/>
      <c r="BM159" s="366"/>
      <c r="BN159" s="366"/>
      <c r="BO159" s="366"/>
      <c r="BP159" s="366"/>
      <c r="BQ159" s="366"/>
      <c r="BR159" s="366"/>
      <c r="BS159" s="366"/>
      <c r="BT159" s="366"/>
      <c r="BU159" s="366"/>
      <c r="BV159" s="366"/>
      <c r="BW159" s="366"/>
      <c r="BX159" s="366"/>
      <c r="BY159" s="423"/>
      <c r="BZ159" s="423"/>
      <c r="CI159" s="356"/>
      <c r="CJ159" s="356"/>
      <c r="CK159" s="356"/>
      <c r="CP159" s="356"/>
      <c r="CQ159" s="356"/>
      <c r="CR159" s="356"/>
      <c r="CS159" s="356"/>
      <c r="CT159" s="356"/>
      <c r="CU159" s="356"/>
      <c r="CV159" s="356"/>
      <c r="CW159" s="356"/>
      <c r="CX159" s="356"/>
      <c r="CY159" s="356"/>
      <c r="CZ159" s="356"/>
      <c r="DA159" s="356"/>
      <c r="DB159" s="356"/>
      <c r="DC159" s="356"/>
      <c r="DD159" s="356"/>
      <c r="DE159" s="356"/>
      <c r="DF159" s="356"/>
      <c r="DG159" s="356"/>
      <c r="DH159" s="356"/>
      <c r="DI159" s="356"/>
      <c r="DJ159" s="356"/>
      <c r="DK159" s="356"/>
      <c r="DL159" s="356"/>
      <c r="DM159" s="356"/>
      <c r="DN159" s="356"/>
      <c r="DO159" s="356"/>
      <c r="DP159" s="356"/>
      <c r="DQ159" s="356"/>
    </row>
    <row r="160" spans="1:121" hidden="1" outlineLevel="1">
      <c r="A160" s="41"/>
      <c r="B160" s="364"/>
      <c r="C160" s="356"/>
      <c r="D160" s="356"/>
      <c r="E160" s="362"/>
      <c r="F160" s="362"/>
      <c r="G160" s="356"/>
      <c r="H160" s="364"/>
      <c r="I160" s="364"/>
      <c r="J160" s="366"/>
      <c r="K160" s="366"/>
      <c r="L160" s="366"/>
      <c r="M160" s="366"/>
      <c r="N160" s="366"/>
      <c r="O160" s="366"/>
      <c r="P160" s="366"/>
      <c r="Q160" s="366"/>
      <c r="R160" s="369"/>
      <c r="S160" s="369"/>
      <c r="T160" s="366"/>
      <c r="U160" s="427"/>
      <c r="V160" s="427"/>
      <c r="W160" s="372"/>
      <c r="X160" s="373"/>
      <c r="Y160" s="373"/>
      <c r="Z160" s="374"/>
      <c r="AA160" s="374"/>
      <c r="AB160" s="374"/>
      <c r="AC160" s="374"/>
      <c r="AD160" s="369"/>
      <c r="AE160" s="376"/>
      <c r="AF160" s="376"/>
      <c r="AG160" s="376"/>
      <c r="AH160" s="376"/>
      <c r="AI160" s="375"/>
      <c r="AJ160" s="366"/>
      <c r="AK160" s="366"/>
      <c r="AL160" s="366"/>
      <c r="AM160" s="366"/>
      <c r="AN160" s="366"/>
      <c r="AO160" s="366"/>
      <c r="AP160" s="366"/>
      <c r="AQ160" s="366"/>
      <c r="AR160" s="366"/>
      <c r="AS160" s="366"/>
      <c r="AT160" s="366"/>
      <c r="AU160" s="366"/>
      <c r="AV160" s="366"/>
      <c r="AW160" s="366"/>
      <c r="AX160" s="366"/>
      <c r="AY160" s="366"/>
      <c r="AZ160" s="366"/>
      <c r="BA160" s="366"/>
      <c r="BB160" s="366"/>
      <c r="BC160" s="366"/>
      <c r="BD160" s="366"/>
      <c r="BE160" s="366"/>
      <c r="BF160" s="366"/>
      <c r="BG160" s="366"/>
      <c r="BH160" s="366"/>
      <c r="BI160" s="366"/>
      <c r="BJ160" s="366"/>
      <c r="BK160" s="366"/>
      <c r="BL160" s="366"/>
      <c r="BM160" s="366"/>
      <c r="BN160" s="366"/>
      <c r="BO160" s="366"/>
      <c r="BP160" s="366"/>
      <c r="BQ160" s="366"/>
      <c r="BR160" s="366"/>
      <c r="BS160" s="366"/>
      <c r="BT160" s="366"/>
      <c r="BU160" s="366"/>
      <c r="BV160" s="366"/>
      <c r="BW160" s="366"/>
      <c r="BX160" s="366"/>
      <c r="BY160" s="423"/>
      <c r="BZ160" s="423"/>
      <c r="CI160" s="356"/>
      <c r="CJ160" s="356"/>
      <c r="CK160" s="356"/>
      <c r="CP160" s="356"/>
      <c r="CQ160" s="356"/>
      <c r="CR160" s="356"/>
      <c r="CS160" s="356"/>
      <c r="CT160" s="356"/>
      <c r="CU160" s="356"/>
      <c r="CV160" s="356"/>
      <c r="CW160" s="356"/>
      <c r="CX160" s="356"/>
      <c r="CY160" s="356"/>
      <c r="CZ160" s="356"/>
      <c r="DA160" s="356"/>
      <c r="DB160" s="356"/>
      <c r="DC160" s="356"/>
      <c r="DD160" s="356"/>
      <c r="DE160" s="356"/>
      <c r="DF160" s="356"/>
      <c r="DG160" s="356"/>
      <c r="DH160" s="356"/>
      <c r="DI160" s="356"/>
      <c r="DJ160" s="356"/>
      <c r="DK160" s="356"/>
      <c r="DL160" s="356"/>
      <c r="DM160" s="356"/>
      <c r="DN160" s="356"/>
      <c r="DO160" s="356"/>
      <c r="DP160" s="356"/>
      <c r="DQ160" s="356"/>
    </row>
    <row r="161" spans="1:121" hidden="1" outlineLevel="1">
      <c r="A161" s="41"/>
      <c r="B161" s="364"/>
      <c r="C161" s="356"/>
      <c r="D161" s="356"/>
      <c r="E161" s="362"/>
      <c r="F161" s="362"/>
      <c r="G161" s="356"/>
      <c r="H161" s="364"/>
      <c r="I161" s="364"/>
      <c r="J161" s="366"/>
      <c r="K161" s="366"/>
      <c r="L161" s="366"/>
      <c r="M161" s="366"/>
      <c r="N161" s="366"/>
      <c r="O161" s="366"/>
      <c r="P161" s="366"/>
      <c r="Q161" s="366"/>
      <c r="R161" s="369"/>
      <c r="S161" s="369"/>
      <c r="T161" s="366"/>
      <c r="U161" s="427"/>
      <c r="V161" s="427"/>
      <c r="W161" s="372"/>
      <c r="X161" s="373"/>
      <c r="Y161" s="373"/>
      <c r="Z161" s="374"/>
      <c r="AA161" s="374"/>
      <c r="AB161" s="374"/>
      <c r="AC161" s="374"/>
      <c r="AD161" s="369"/>
      <c r="AE161" s="376"/>
      <c r="AF161" s="376"/>
      <c r="AG161" s="376"/>
      <c r="AH161" s="376"/>
      <c r="AI161" s="375"/>
      <c r="AJ161" s="366"/>
      <c r="AK161" s="366"/>
      <c r="AL161" s="366"/>
      <c r="AM161" s="366"/>
      <c r="AN161" s="366"/>
      <c r="AO161" s="366"/>
      <c r="AP161" s="366"/>
      <c r="AQ161" s="366"/>
      <c r="AR161" s="366"/>
      <c r="AS161" s="366"/>
      <c r="AT161" s="366"/>
      <c r="AU161" s="366"/>
      <c r="AV161" s="366"/>
      <c r="AW161" s="366"/>
      <c r="AX161" s="366"/>
      <c r="AY161" s="366"/>
      <c r="AZ161" s="366"/>
      <c r="BA161" s="366"/>
      <c r="BB161" s="366"/>
      <c r="BC161" s="366"/>
      <c r="BD161" s="366"/>
      <c r="BE161" s="366"/>
      <c r="BF161" s="366"/>
      <c r="BG161" s="366"/>
      <c r="BH161" s="366"/>
      <c r="BI161" s="366"/>
      <c r="BJ161" s="366"/>
      <c r="BK161" s="366"/>
      <c r="BL161" s="366"/>
      <c r="BM161" s="366"/>
      <c r="BN161" s="366"/>
      <c r="BO161" s="366"/>
      <c r="BP161" s="366"/>
      <c r="BQ161" s="366"/>
      <c r="BR161" s="366"/>
      <c r="BS161" s="366"/>
      <c r="BT161" s="366"/>
      <c r="BU161" s="366"/>
      <c r="BV161" s="366"/>
      <c r="BW161" s="366"/>
      <c r="BX161" s="366"/>
      <c r="BY161" s="423"/>
      <c r="BZ161" s="423"/>
      <c r="CI161" s="356"/>
      <c r="CJ161" s="356"/>
      <c r="CK161" s="356"/>
      <c r="CP161" s="356"/>
      <c r="CQ161" s="356"/>
      <c r="CR161" s="356"/>
      <c r="CS161" s="356"/>
      <c r="CT161" s="356"/>
      <c r="CU161" s="356"/>
      <c r="CV161" s="356"/>
      <c r="CW161" s="356"/>
      <c r="CX161" s="356"/>
      <c r="CY161" s="356"/>
      <c r="CZ161" s="356"/>
      <c r="DA161" s="356"/>
      <c r="DB161" s="356"/>
      <c r="DC161" s="356"/>
      <c r="DD161" s="356"/>
      <c r="DE161" s="356"/>
      <c r="DF161" s="356"/>
      <c r="DG161" s="356"/>
      <c r="DH161" s="356"/>
      <c r="DI161" s="356"/>
      <c r="DJ161" s="356"/>
      <c r="DK161" s="356"/>
      <c r="DL161" s="356"/>
      <c r="DM161" s="356"/>
      <c r="DN161" s="356"/>
      <c r="DO161" s="356"/>
      <c r="DP161" s="356"/>
      <c r="DQ161" s="356"/>
    </row>
    <row r="162" spans="1:121" hidden="1" outlineLevel="1">
      <c r="A162" s="41"/>
      <c r="B162" s="364"/>
      <c r="C162" s="356"/>
      <c r="D162" s="356"/>
      <c r="E162" s="362"/>
      <c r="F162" s="362"/>
      <c r="G162" s="356"/>
      <c r="H162" s="364"/>
      <c r="I162" s="364"/>
      <c r="J162" s="366"/>
      <c r="K162" s="366"/>
      <c r="L162" s="366"/>
      <c r="M162" s="366"/>
      <c r="N162" s="366"/>
      <c r="O162" s="366"/>
      <c r="P162" s="366"/>
      <c r="Q162" s="366"/>
      <c r="R162" s="369"/>
      <c r="S162" s="369"/>
      <c r="T162" s="366"/>
      <c r="U162" s="427"/>
      <c r="V162" s="427"/>
      <c r="W162" s="372"/>
      <c r="X162" s="373"/>
      <c r="Y162" s="373"/>
      <c r="Z162" s="374"/>
      <c r="AA162" s="374"/>
      <c r="AB162" s="374"/>
      <c r="AC162" s="374"/>
      <c r="AD162" s="369"/>
      <c r="AE162" s="376"/>
      <c r="AF162" s="376"/>
      <c r="AG162" s="376"/>
      <c r="AH162" s="376"/>
      <c r="AI162" s="375"/>
      <c r="AJ162" s="366"/>
      <c r="AK162" s="366"/>
      <c r="AL162" s="366"/>
      <c r="AM162" s="366"/>
      <c r="AN162" s="366"/>
      <c r="AO162" s="366"/>
      <c r="AP162" s="366"/>
      <c r="AQ162" s="366"/>
      <c r="AR162" s="366"/>
      <c r="AS162" s="366"/>
      <c r="AT162" s="366"/>
      <c r="AU162" s="366"/>
      <c r="AV162" s="366"/>
      <c r="AW162" s="366"/>
      <c r="AX162" s="366"/>
      <c r="AY162" s="366"/>
      <c r="AZ162" s="366"/>
      <c r="BA162" s="366"/>
      <c r="BB162" s="366"/>
      <c r="BC162" s="366"/>
      <c r="BD162" s="366"/>
      <c r="BE162" s="366"/>
      <c r="BF162" s="366"/>
      <c r="BG162" s="366"/>
      <c r="BH162" s="366"/>
      <c r="BI162" s="366"/>
      <c r="BJ162" s="366"/>
      <c r="BK162" s="366"/>
      <c r="BL162" s="366"/>
      <c r="BM162" s="366"/>
      <c r="BN162" s="366"/>
      <c r="BO162" s="366"/>
      <c r="BP162" s="366"/>
      <c r="BQ162" s="366"/>
      <c r="BR162" s="366"/>
      <c r="BS162" s="366"/>
      <c r="BT162" s="366"/>
      <c r="BU162" s="366"/>
      <c r="BV162" s="366"/>
      <c r="BW162" s="366"/>
      <c r="BX162" s="366"/>
      <c r="BY162" s="423"/>
      <c r="BZ162" s="423"/>
      <c r="CI162" s="356"/>
      <c r="CJ162" s="356"/>
      <c r="CK162" s="356"/>
      <c r="CP162" s="356"/>
      <c r="CQ162" s="356"/>
      <c r="CR162" s="356"/>
      <c r="CS162" s="356"/>
      <c r="CT162" s="356"/>
      <c r="CU162" s="356"/>
      <c r="CV162" s="356"/>
      <c r="CW162" s="356"/>
      <c r="CX162" s="356"/>
      <c r="CY162" s="356"/>
      <c r="CZ162" s="356"/>
      <c r="DA162" s="356"/>
      <c r="DB162" s="356"/>
      <c r="DC162" s="356"/>
      <c r="DD162" s="356"/>
      <c r="DE162" s="356"/>
      <c r="DF162" s="356"/>
      <c r="DG162" s="356"/>
      <c r="DH162" s="356"/>
      <c r="DI162" s="356"/>
      <c r="DJ162" s="356"/>
      <c r="DK162" s="356"/>
      <c r="DL162" s="356"/>
      <c r="DM162" s="356"/>
      <c r="DN162" s="356"/>
      <c r="DO162" s="356"/>
      <c r="DP162" s="356"/>
      <c r="DQ162" s="356"/>
    </row>
    <row r="163" spans="1:121" hidden="1" outlineLevel="1">
      <c r="A163" s="41"/>
      <c r="B163" s="364"/>
      <c r="C163" s="356"/>
      <c r="D163" s="356"/>
      <c r="E163" s="362"/>
      <c r="F163" s="362"/>
      <c r="G163" s="356"/>
      <c r="H163" s="364"/>
      <c r="I163" s="364"/>
      <c r="J163" s="366"/>
      <c r="K163" s="366"/>
      <c r="L163" s="366"/>
      <c r="M163" s="366"/>
      <c r="N163" s="366"/>
      <c r="O163" s="366"/>
      <c r="P163" s="366"/>
      <c r="Q163" s="366"/>
      <c r="R163" s="369"/>
      <c r="S163" s="369"/>
      <c r="T163" s="366"/>
      <c r="U163" s="427"/>
      <c r="V163" s="427"/>
      <c r="W163" s="372"/>
      <c r="X163" s="373"/>
      <c r="Y163" s="373"/>
      <c r="Z163" s="374"/>
      <c r="AA163" s="374"/>
      <c r="AB163" s="374"/>
      <c r="AC163" s="374"/>
      <c r="AD163" s="369"/>
      <c r="AE163" s="376"/>
      <c r="AF163" s="376"/>
      <c r="AG163" s="376"/>
      <c r="AH163" s="376"/>
      <c r="AI163" s="375"/>
      <c r="AJ163" s="366"/>
      <c r="AK163" s="366"/>
      <c r="AL163" s="366"/>
      <c r="AM163" s="366"/>
      <c r="AN163" s="366"/>
      <c r="AO163" s="366"/>
      <c r="AP163" s="366"/>
      <c r="AQ163" s="366"/>
      <c r="AR163" s="366"/>
      <c r="AS163" s="366"/>
      <c r="AT163" s="366"/>
      <c r="AU163" s="366"/>
      <c r="AV163" s="366"/>
      <c r="AW163" s="366"/>
      <c r="AX163" s="366"/>
      <c r="AY163" s="366"/>
      <c r="AZ163" s="366"/>
      <c r="BA163" s="366"/>
      <c r="BB163" s="366"/>
      <c r="BC163" s="366"/>
      <c r="BD163" s="366"/>
      <c r="BE163" s="366"/>
      <c r="BF163" s="366"/>
      <c r="BG163" s="366"/>
      <c r="BH163" s="366"/>
      <c r="BI163" s="366"/>
      <c r="BJ163" s="366"/>
      <c r="BK163" s="366"/>
      <c r="BL163" s="366"/>
      <c r="BM163" s="366"/>
      <c r="BN163" s="366"/>
      <c r="BO163" s="366"/>
      <c r="BP163" s="366"/>
      <c r="BQ163" s="366"/>
      <c r="BR163" s="366"/>
      <c r="BS163" s="366"/>
      <c r="BT163" s="366"/>
      <c r="BU163" s="366"/>
      <c r="BV163" s="366"/>
      <c r="BW163" s="366"/>
      <c r="BX163" s="366"/>
      <c r="BY163" s="423"/>
      <c r="BZ163" s="423"/>
      <c r="CI163" s="356"/>
      <c r="CJ163" s="356"/>
      <c r="CK163" s="356"/>
      <c r="CP163" s="356"/>
      <c r="CQ163" s="356"/>
      <c r="CR163" s="356"/>
      <c r="CS163" s="356"/>
      <c r="CT163" s="356"/>
      <c r="CU163" s="356"/>
      <c r="CV163" s="356"/>
      <c r="CW163" s="356"/>
      <c r="CX163" s="356"/>
      <c r="CY163" s="356"/>
      <c r="CZ163" s="356"/>
      <c r="DA163" s="356"/>
      <c r="DB163" s="356"/>
      <c r="DC163" s="356"/>
      <c r="DD163" s="356"/>
      <c r="DE163" s="356"/>
      <c r="DF163" s="356"/>
      <c r="DG163" s="356"/>
      <c r="DH163" s="356"/>
      <c r="DI163" s="356"/>
      <c r="DJ163" s="356"/>
      <c r="DK163" s="356"/>
      <c r="DL163" s="356"/>
      <c r="DM163" s="356"/>
      <c r="DN163" s="356"/>
      <c r="DO163" s="356"/>
      <c r="DP163" s="356"/>
      <c r="DQ163" s="356"/>
    </row>
    <row r="164" spans="1:121" hidden="1" outlineLevel="1">
      <c r="A164" s="41"/>
      <c r="B164" s="364"/>
      <c r="C164" s="356"/>
      <c r="D164" s="356"/>
      <c r="E164" s="362"/>
      <c r="F164" s="362"/>
      <c r="G164" s="356"/>
      <c r="H164" s="364"/>
      <c r="I164" s="364"/>
      <c r="J164" s="366"/>
      <c r="K164" s="366"/>
      <c r="L164" s="366"/>
      <c r="M164" s="366"/>
      <c r="N164" s="366"/>
      <c r="O164" s="366"/>
      <c r="P164" s="366"/>
      <c r="Q164" s="366"/>
      <c r="R164" s="369"/>
      <c r="S164" s="369"/>
      <c r="T164" s="366"/>
      <c r="U164" s="427"/>
      <c r="V164" s="427"/>
      <c r="W164" s="372"/>
      <c r="X164" s="373"/>
      <c r="Y164" s="373"/>
      <c r="Z164" s="374"/>
      <c r="AA164" s="374"/>
      <c r="AB164" s="374"/>
      <c r="AC164" s="374"/>
      <c r="AD164" s="369"/>
      <c r="AE164" s="376"/>
      <c r="AF164" s="376"/>
      <c r="AG164" s="376"/>
      <c r="AH164" s="376"/>
      <c r="AI164" s="375"/>
      <c r="AJ164" s="366"/>
      <c r="AK164" s="366"/>
      <c r="AL164" s="366"/>
      <c r="AM164" s="366"/>
      <c r="AN164" s="366"/>
      <c r="AO164" s="366"/>
      <c r="AP164" s="366"/>
      <c r="AQ164" s="366"/>
      <c r="AR164" s="366"/>
      <c r="AS164" s="366"/>
      <c r="AT164" s="366"/>
      <c r="AU164" s="366"/>
      <c r="AV164" s="366"/>
      <c r="AW164" s="366"/>
      <c r="AX164" s="366"/>
      <c r="AY164" s="366"/>
      <c r="AZ164" s="366"/>
      <c r="BA164" s="366"/>
      <c r="BB164" s="366"/>
      <c r="BC164" s="366"/>
      <c r="BD164" s="366"/>
      <c r="BE164" s="366"/>
      <c r="BF164" s="366"/>
      <c r="BG164" s="366"/>
      <c r="BH164" s="366"/>
      <c r="BI164" s="366"/>
      <c r="BJ164" s="366"/>
      <c r="BK164" s="366"/>
      <c r="BL164" s="366"/>
      <c r="BM164" s="366"/>
      <c r="BN164" s="366"/>
      <c r="BO164" s="366"/>
      <c r="BP164" s="366"/>
      <c r="BQ164" s="366"/>
      <c r="BR164" s="366"/>
      <c r="BS164" s="366"/>
      <c r="BT164" s="366"/>
      <c r="BU164" s="366"/>
      <c r="BV164" s="366"/>
      <c r="BW164" s="366"/>
      <c r="BX164" s="366"/>
      <c r="BY164" s="423"/>
      <c r="BZ164" s="423"/>
      <c r="CI164" s="356"/>
      <c r="CJ164" s="356"/>
      <c r="CK164" s="356"/>
      <c r="CP164" s="356"/>
      <c r="CQ164" s="356"/>
      <c r="CR164" s="356"/>
      <c r="CS164" s="356"/>
      <c r="CT164" s="356"/>
      <c r="CU164" s="356"/>
      <c r="CV164" s="356"/>
      <c r="CW164" s="356"/>
      <c r="CX164" s="356"/>
      <c r="CY164" s="356"/>
      <c r="CZ164" s="356"/>
      <c r="DA164" s="356"/>
      <c r="DB164" s="356"/>
      <c r="DC164" s="356"/>
      <c r="DD164" s="356"/>
      <c r="DE164" s="356"/>
      <c r="DF164" s="356"/>
      <c r="DG164" s="356"/>
      <c r="DH164" s="356"/>
      <c r="DI164" s="356"/>
      <c r="DJ164" s="356"/>
      <c r="DK164" s="356"/>
      <c r="DL164" s="356"/>
      <c r="DM164" s="356"/>
      <c r="DN164" s="356"/>
      <c r="DO164" s="356"/>
      <c r="DP164" s="356"/>
      <c r="DQ164" s="356"/>
    </row>
    <row r="165" spans="1:121" hidden="1" outlineLevel="1">
      <c r="A165" s="41"/>
      <c r="B165" s="364"/>
      <c r="C165" s="356"/>
      <c r="D165" s="356"/>
      <c r="E165" s="362"/>
      <c r="F165" s="362"/>
      <c r="G165" s="356"/>
      <c r="H165" s="364"/>
      <c r="I165" s="364"/>
      <c r="J165" s="366"/>
      <c r="K165" s="366"/>
      <c r="L165" s="366"/>
      <c r="M165" s="366"/>
      <c r="N165" s="366"/>
      <c r="O165" s="366"/>
      <c r="P165" s="366"/>
      <c r="Q165" s="366"/>
      <c r="R165" s="369"/>
      <c r="S165" s="369"/>
      <c r="T165" s="366"/>
      <c r="U165" s="427"/>
      <c r="V165" s="427"/>
      <c r="W165" s="372"/>
      <c r="X165" s="373"/>
      <c r="Y165" s="373"/>
      <c r="Z165" s="374"/>
      <c r="AA165" s="374"/>
      <c r="AB165" s="374"/>
      <c r="AC165" s="374"/>
      <c r="AD165" s="369"/>
      <c r="AE165" s="376"/>
      <c r="AF165" s="376"/>
      <c r="AG165" s="376"/>
      <c r="AH165" s="376"/>
      <c r="AI165" s="375"/>
      <c r="AJ165" s="366"/>
      <c r="AK165" s="366"/>
      <c r="AL165" s="366"/>
      <c r="AM165" s="366"/>
      <c r="AN165" s="366"/>
      <c r="AO165" s="366"/>
      <c r="AP165" s="366"/>
      <c r="AQ165" s="366"/>
      <c r="AR165" s="366"/>
      <c r="AS165" s="366"/>
      <c r="AT165" s="366"/>
      <c r="AU165" s="366"/>
      <c r="AV165" s="366"/>
      <c r="AW165" s="366"/>
      <c r="AX165" s="366"/>
      <c r="AY165" s="366"/>
      <c r="AZ165" s="366"/>
      <c r="BA165" s="366"/>
      <c r="BB165" s="366"/>
      <c r="BC165" s="366"/>
      <c r="BD165" s="366"/>
      <c r="BE165" s="366"/>
      <c r="BF165" s="366"/>
      <c r="BG165" s="366"/>
      <c r="BH165" s="366"/>
      <c r="BI165" s="366"/>
      <c r="BJ165" s="366"/>
      <c r="BK165" s="366"/>
      <c r="BL165" s="366"/>
      <c r="BM165" s="366"/>
      <c r="BN165" s="366"/>
      <c r="BO165" s="366"/>
      <c r="BP165" s="366"/>
      <c r="BQ165" s="366"/>
      <c r="BR165" s="366"/>
      <c r="BS165" s="366"/>
      <c r="BT165" s="366"/>
      <c r="BU165" s="366"/>
      <c r="BV165" s="366"/>
      <c r="BW165" s="366"/>
      <c r="BX165" s="366"/>
      <c r="BY165" s="423"/>
      <c r="BZ165" s="423"/>
      <c r="CI165" s="356"/>
      <c r="CJ165" s="356"/>
      <c r="CK165" s="356"/>
      <c r="CP165" s="356"/>
      <c r="CQ165" s="356"/>
      <c r="CR165" s="356"/>
      <c r="CS165" s="356"/>
      <c r="CT165" s="356"/>
      <c r="CU165" s="356"/>
      <c r="CV165" s="356"/>
      <c r="CW165" s="356"/>
      <c r="CX165" s="356"/>
      <c r="CY165" s="356"/>
      <c r="CZ165" s="356"/>
      <c r="DA165" s="356"/>
      <c r="DB165" s="356"/>
      <c r="DC165" s="356"/>
      <c r="DD165" s="356"/>
      <c r="DE165" s="356"/>
      <c r="DF165" s="356"/>
      <c r="DG165" s="356"/>
      <c r="DH165" s="356"/>
      <c r="DI165" s="356"/>
      <c r="DJ165" s="356"/>
      <c r="DK165" s="356"/>
      <c r="DL165" s="356"/>
      <c r="DM165" s="356"/>
      <c r="DN165" s="356"/>
      <c r="DO165" s="356"/>
      <c r="DP165" s="356"/>
      <c r="DQ165" s="356"/>
    </row>
    <row r="166" spans="1:121" hidden="1" outlineLevel="1">
      <c r="A166" s="41"/>
      <c r="B166" s="364"/>
      <c r="C166" s="356"/>
      <c r="D166" s="356"/>
      <c r="E166" s="362"/>
      <c r="F166" s="362"/>
      <c r="G166" s="356"/>
      <c r="H166" s="364"/>
      <c r="I166" s="364"/>
      <c r="J166" s="366"/>
      <c r="K166" s="366"/>
      <c r="L166" s="366"/>
      <c r="M166" s="366"/>
      <c r="N166" s="366"/>
      <c r="O166" s="366"/>
      <c r="P166" s="366"/>
      <c r="Q166" s="366"/>
      <c r="R166" s="369"/>
      <c r="S166" s="369"/>
      <c r="T166" s="366"/>
      <c r="U166" s="427"/>
      <c r="V166" s="427"/>
      <c r="W166" s="372"/>
      <c r="X166" s="373"/>
      <c r="Y166" s="373"/>
      <c r="Z166" s="374"/>
      <c r="AA166" s="374"/>
      <c r="AB166" s="374"/>
      <c r="AC166" s="374"/>
      <c r="AD166" s="369"/>
      <c r="AE166" s="376"/>
      <c r="AF166" s="376"/>
      <c r="AG166" s="376"/>
      <c r="AH166" s="376"/>
      <c r="AI166" s="375"/>
      <c r="AJ166" s="366"/>
      <c r="AK166" s="366"/>
      <c r="AL166" s="366"/>
      <c r="AM166" s="366"/>
      <c r="AN166" s="366"/>
      <c r="AO166" s="366"/>
      <c r="AP166" s="366"/>
      <c r="AQ166" s="366"/>
      <c r="AR166" s="366"/>
      <c r="AS166" s="366"/>
      <c r="AT166" s="366"/>
      <c r="AU166" s="366"/>
      <c r="AV166" s="366"/>
      <c r="AW166" s="366"/>
      <c r="AX166" s="366"/>
      <c r="AY166" s="366"/>
      <c r="AZ166" s="366"/>
      <c r="BA166" s="366"/>
      <c r="BB166" s="366"/>
      <c r="BC166" s="366"/>
      <c r="BD166" s="366"/>
      <c r="BE166" s="366"/>
      <c r="BF166" s="366"/>
      <c r="BG166" s="366"/>
      <c r="BH166" s="366"/>
      <c r="BI166" s="366"/>
      <c r="BJ166" s="366"/>
      <c r="BK166" s="366"/>
      <c r="BL166" s="366"/>
      <c r="BM166" s="366"/>
      <c r="BN166" s="366"/>
      <c r="BO166" s="366"/>
      <c r="BP166" s="366"/>
      <c r="BQ166" s="366"/>
      <c r="BR166" s="366"/>
      <c r="BS166" s="366"/>
      <c r="BT166" s="366"/>
      <c r="BU166" s="366"/>
      <c r="BV166" s="366"/>
      <c r="BW166" s="366"/>
      <c r="BX166" s="366"/>
      <c r="BY166" s="423"/>
      <c r="BZ166" s="423"/>
      <c r="CI166" s="356"/>
      <c r="CJ166" s="356"/>
      <c r="CK166" s="356"/>
      <c r="CP166" s="356"/>
      <c r="CQ166" s="356"/>
      <c r="CR166" s="356"/>
      <c r="CS166" s="356"/>
      <c r="CT166" s="356"/>
      <c r="CU166" s="356"/>
      <c r="CV166" s="356"/>
      <c r="CW166" s="356"/>
      <c r="CX166" s="356"/>
      <c r="CY166" s="356"/>
      <c r="CZ166" s="356"/>
      <c r="DA166" s="356"/>
      <c r="DB166" s="356"/>
      <c r="DC166" s="356"/>
      <c r="DD166" s="356"/>
      <c r="DE166" s="356"/>
      <c r="DF166" s="356"/>
      <c r="DG166" s="356"/>
      <c r="DH166" s="356"/>
      <c r="DI166" s="356"/>
      <c r="DJ166" s="356"/>
      <c r="DK166" s="356"/>
      <c r="DL166" s="356"/>
      <c r="DM166" s="356"/>
      <c r="DN166" s="356"/>
      <c r="DO166" s="356"/>
      <c r="DP166" s="356"/>
      <c r="DQ166" s="356"/>
    </row>
    <row r="167" spans="1:121" hidden="1" outlineLevel="1">
      <c r="A167" s="41"/>
      <c r="B167" s="364"/>
      <c r="C167" s="356"/>
      <c r="D167" s="356"/>
      <c r="E167" s="362"/>
      <c r="F167" s="362"/>
      <c r="G167" s="356"/>
      <c r="H167" s="364"/>
      <c r="I167" s="364"/>
      <c r="J167" s="366"/>
      <c r="K167" s="366"/>
      <c r="L167" s="366"/>
      <c r="M167" s="366"/>
      <c r="N167" s="366"/>
      <c r="O167" s="366"/>
      <c r="P167" s="366"/>
      <c r="Q167" s="366"/>
      <c r="R167" s="369"/>
      <c r="S167" s="369"/>
      <c r="T167" s="366"/>
      <c r="U167" s="427"/>
      <c r="V167" s="427"/>
      <c r="W167" s="372"/>
      <c r="X167" s="373"/>
      <c r="Y167" s="373"/>
      <c r="Z167" s="374"/>
      <c r="AA167" s="374"/>
      <c r="AB167" s="374"/>
      <c r="AC167" s="374"/>
      <c r="AD167" s="369"/>
      <c r="AE167" s="376"/>
      <c r="AF167" s="376"/>
      <c r="AG167" s="376"/>
      <c r="AH167" s="376"/>
      <c r="AI167" s="375"/>
      <c r="AJ167" s="366"/>
      <c r="AK167" s="366"/>
      <c r="AL167" s="366"/>
      <c r="AM167" s="366"/>
      <c r="AN167" s="366"/>
      <c r="AO167" s="366"/>
      <c r="AP167" s="366"/>
      <c r="AQ167" s="366"/>
      <c r="AR167" s="366"/>
      <c r="AS167" s="366"/>
      <c r="AT167" s="366"/>
      <c r="AU167" s="366"/>
      <c r="AV167" s="366"/>
      <c r="AW167" s="366"/>
      <c r="AX167" s="366"/>
      <c r="AY167" s="366"/>
      <c r="AZ167" s="366"/>
      <c r="BA167" s="366"/>
      <c r="BB167" s="366"/>
      <c r="BC167" s="366"/>
      <c r="BD167" s="366"/>
      <c r="BE167" s="366"/>
      <c r="BF167" s="366"/>
      <c r="BG167" s="366"/>
      <c r="BH167" s="366"/>
      <c r="BI167" s="366"/>
      <c r="BJ167" s="366"/>
      <c r="BK167" s="366"/>
      <c r="BL167" s="366"/>
      <c r="BM167" s="366"/>
      <c r="BN167" s="366"/>
      <c r="BO167" s="366"/>
      <c r="BP167" s="366"/>
      <c r="BQ167" s="366"/>
      <c r="BR167" s="366"/>
      <c r="BS167" s="366"/>
      <c r="BT167" s="366"/>
      <c r="BU167" s="366"/>
      <c r="BV167" s="366"/>
      <c r="BW167" s="366"/>
      <c r="BX167" s="366"/>
      <c r="BY167" s="423"/>
      <c r="BZ167" s="423"/>
      <c r="CI167" s="356"/>
      <c r="CJ167" s="356"/>
      <c r="CK167" s="356"/>
      <c r="CP167" s="356"/>
      <c r="CQ167" s="356"/>
      <c r="CR167" s="356"/>
      <c r="CS167" s="356"/>
      <c r="CT167" s="356"/>
      <c r="CU167" s="356"/>
      <c r="CV167" s="356"/>
      <c r="CW167" s="356"/>
      <c r="CX167" s="356"/>
      <c r="CY167" s="356"/>
      <c r="CZ167" s="356"/>
      <c r="DA167" s="356"/>
      <c r="DB167" s="356"/>
      <c r="DC167" s="356"/>
      <c r="DD167" s="356"/>
      <c r="DE167" s="356"/>
      <c r="DF167" s="356"/>
      <c r="DG167" s="356"/>
      <c r="DH167" s="356"/>
      <c r="DI167" s="356"/>
      <c r="DJ167" s="356"/>
      <c r="DK167" s="356"/>
      <c r="DL167" s="356"/>
      <c r="DM167" s="356"/>
      <c r="DN167" s="356"/>
      <c r="DO167" s="356"/>
      <c r="DP167" s="356"/>
      <c r="DQ167" s="356"/>
    </row>
    <row r="168" spans="1:121" hidden="1" outlineLevel="1">
      <c r="A168" s="41"/>
      <c r="B168" s="364"/>
      <c r="C168" s="356"/>
      <c r="D168" s="356"/>
      <c r="E168" s="362"/>
      <c r="F168" s="362"/>
      <c r="G168" s="356"/>
      <c r="H168" s="364"/>
      <c r="I168" s="364"/>
      <c r="J168" s="366"/>
      <c r="K168" s="366"/>
      <c r="L168" s="366"/>
      <c r="M168" s="366"/>
      <c r="N168" s="366"/>
      <c r="O168" s="366"/>
      <c r="P168" s="366"/>
      <c r="Q168" s="366"/>
      <c r="R168" s="369"/>
      <c r="S168" s="369"/>
      <c r="T168" s="366"/>
      <c r="U168" s="427"/>
      <c r="V168" s="427"/>
      <c r="W168" s="372"/>
      <c r="X168" s="373"/>
      <c r="Y168" s="373"/>
      <c r="Z168" s="374"/>
      <c r="AA168" s="374"/>
      <c r="AB168" s="374"/>
      <c r="AC168" s="374"/>
      <c r="AD168" s="369"/>
      <c r="AE168" s="376"/>
      <c r="AF168" s="376"/>
      <c r="AG168" s="376"/>
      <c r="AH168" s="376"/>
      <c r="AI168" s="375"/>
      <c r="AJ168" s="366"/>
      <c r="AK168" s="366"/>
      <c r="AL168" s="366"/>
      <c r="AM168" s="366"/>
      <c r="AN168" s="366"/>
      <c r="AO168" s="366"/>
      <c r="AP168" s="366"/>
      <c r="AQ168" s="366"/>
      <c r="AR168" s="366"/>
      <c r="AS168" s="366"/>
      <c r="AT168" s="366"/>
      <c r="AU168" s="366"/>
      <c r="AV168" s="366"/>
      <c r="AW168" s="366"/>
      <c r="AX168" s="366"/>
      <c r="AY168" s="366"/>
      <c r="AZ168" s="366"/>
      <c r="BA168" s="366"/>
      <c r="BB168" s="366"/>
      <c r="BC168" s="366"/>
      <c r="BD168" s="366"/>
      <c r="BE168" s="366"/>
      <c r="BF168" s="366"/>
      <c r="BG168" s="366"/>
      <c r="BH168" s="366"/>
      <c r="BI168" s="366"/>
      <c r="BJ168" s="366"/>
      <c r="BK168" s="366"/>
      <c r="BL168" s="366"/>
      <c r="BM168" s="366"/>
      <c r="BN168" s="366"/>
      <c r="BO168" s="366"/>
      <c r="BP168" s="366"/>
      <c r="BQ168" s="366"/>
      <c r="BR168" s="366"/>
      <c r="BS168" s="366"/>
      <c r="BT168" s="366"/>
      <c r="BU168" s="366"/>
      <c r="BV168" s="366"/>
      <c r="BW168" s="366"/>
      <c r="BX168" s="366"/>
      <c r="BY168" s="423"/>
      <c r="BZ168" s="423"/>
      <c r="CI168" s="356"/>
      <c r="CJ168" s="356"/>
      <c r="CK168" s="356"/>
      <c r="CP168" s="356"/>
      <c r="CQ168" s="356"/>
      <c r="CR168" s="356"/>
      <c r="CS168" s="356"/>
      <c r="CT168" s="356"/>
      <c r="CU168" s="356"/>
      <c r="CV168" s="356"/>
      <c r="CW168" s="356"/>
      <c r="CX168" s="356"/>
      <c r="CY168" s="356"/>
      <c r="CZ168" s="356"/>
      <c r="DA168" s="356"/>
      <c r="DB168" s="356"/>
      <c r="DC168" s="356"/>
      <c r="DD168" s="356"/>
      <c r="DE168" s="356"/>
      <c r="DF168" s="356"/>
      <c r="DG168" s="356"/>
      <c r="DH168" s="356"/>
      <c r="DI168" s="356"/>
      <c r="DJ168" s="356"/>
      <c r="DK168" s="356"/>
      <c r="DL168" s="356"/>
      <c r="DM168" s="356"/>
      <c r="DN168" s="356"/>
      <c r="DO168" s="356"/>
      <c r="DP168" s="356"/>
      <c r="DQ168" s="356"/>
    </row>
    <row r="169" spans="1:121" hidden="1" outlineLevel="1">
      <c r="A169" s="41"/>
      <c r="B169" s="364"/>
      <c r="C169" s="356"/>
      <c r="D169" s="356"/>
      <c r="E169" s="362"/>
      <c r="F169" s="362"/>
      <c r="G169" s="356"/>
      <c r="H169" s="364"/>
      <c r="I169" s="364"/>
      <c r="J169" s="366"/>
      <c r="K169" s="366"/>
      <c r="L169" s="366"/>
      <c r="M169" s="366"/>
      <c r="N169" s="366"/>
      <c r="O169" s="366"/>
      <c r="P169" s="366"/>
      <c r="Q169" s="366"/>
      <c r="R169" s="369"/>
      <c r="S169" s="369"/>
      <c r="T169" s="366"/>
      <c r="U169" s="427"/>
      <c r="V169" s="427"/>
      <c r="W169" s="372"/>
      <c r="X169" s="373"/>
      <c r="Y169" s="373"/>
      <c r="Z169" s="374"/>
      <c r="AA169" s="374"/>
      <c r="AB169" s="374"/>
      <c r="AC169" s="374"/>
      <c r="AD169" s="369"/>
      <c r="AE169" s="376"/>
      <c r="AF169" s="376"/>
      <c r="AG169" s="376"/>
      <c r="AH169" s="376"/>
      <c r="AI169" s="375"/>
      <c r="AJ169" s="366"/>
      <c r="AK169" s="366"/>
      <c r="AL169" s="366"/>
      <c r="AM169" s="366"/>
      <c r="AN169" s="366"/>
      <c r="AO169" s="366"/>
      <c r="AP169" s="366"/>
      <c r="AQ169" s="366"/>
      <c r="AR169" s="366"/>
      <c r="AS169" s="366"/>
      <c r="AT169" s="366"/>
      <c r="AU169" s="366"/>
      <c r="AV169" s="366"/>
      <c r="AW169" s="366"/>
      <c r="AX169" s="366"/>
      <c r="AY169" s="366"/>
      <c r="AZ169" s="366"/>
      <c r="BA169" s="366"/>
      <c r="BB169" s="366"/>
      <c r="BC169" s="366"/>
      <c r="BD169" s="366"/>
      <c r="BE169" s="366"/>
      <c r="BF169" s="366"/>
      <c r="BG169" s="366"/>
      <c r="BH169" s="366"/>
      <c r="BI169" s="366"/>
      <c r="BJ169" s="366"/>
      <c r="BK169" s="366"/>
      <c r="BL169" s="366"/>
      <c r="BM169" s="366"/>
      <c r="BN169" s="366"/>
      <c r="BO169" s="366"/>
      <c r="BP169" s="366"/>
      <c r="BQ169" s="366"/>
      <c r="BR169" s="366"/>
      <c r="BS169" s="366"/>
      <c r="BT169" s="366"/>
      <c r="BU169" s="366"/>
      <c r="BV169" s="366"/>
      <c r="BW169" s="366"/>
      <c r="BX169" s="366"/>
      <c r="BY169" s="423"/>
      <c r="BZ169" s="423"/>
      <c r="CI169" s="356"/>
      <c r="CJ169" s="356"/>
      <c r="CK169" s="356"/>
      <c r="CP169" s="356"/>
      <c r="CQ169" s="356"/>
      <c r="CR169" s="356"/>
      <c r="CS169" s="356"/>
      <c r="CT169" s="356"/>
      <c r="CU169" s="356"/>
      <c r="CV169" s="356"/>
      <c r="CW169" s="356"/>
      <c r="CX169" s="356"/>
      <c r="CY169" s="356"/>
      <c r="CZ169" s="356"/>
      <c r="DA169" s="356"/>
      <c r="DB169" s="356"/>
      <c r="DC169" s="356"/>
      <c r="DD169" s="356"/>
      <c r="DE169" s="356"/>
      <c r="DF169" s="356"/>
      <c r="DG169" s="356"/>
      <c r="DH169" s="356"/>
      <c r="DI169" s="356"/>
      <c r="DJ169" s="356"/>
      <c r="DK169" s="356"/>
      <c r="DL169" s="356"/>
      <c r="DM169" s="356"/>
      <c r="DN169" s="356"/>
      <c r="DO169" s="356"/>
      <c r="DP169" s="356"/>
      <c r="DQ169" s="356"/>
    </row>
    <row r="170" spans="1:121" hidden="1" outlineLevel="1">
      <c r="A170" s="41"/>
      <c r="B170" s="364"/>
      <c r="C170" s="356"/>
      <c r="D170" s="356"/>
      <c r="E170" s="362"/>
      <c r="F170" s="362"/>
      <c r="G170" s="356"/>
      <c r="H170" s="364"/>
      <c r="I170" s="364"/>
      <c r="J170" s="366"/>
      <c r="K170" s="366"/>
      <c r="L170" s="366"/>
      <c r="M170" s="366"/>
      <c r="N170" s="366"/>
      <c r="O170" s="366"/>
      <c r="P170" s="366"/>
      <c r="Q170" s="366"/>
      <c r="R170" s="369"/>
      <c r="S170" s="369"/>
      <c r="T170" s="366"/>
      <c r="U170" s="427"/>
      <c r="V170" s="427"/>
      <c r="W170" s="372"/>
      <c r="X170" s="373"/>
      <c r="Y170" s="373"/>
      <c r="Z170" s="374"/>
      <c r="AA170" s="374"/>
      <c r="AB170" s="374"/>
      <c r="AC170" s="374"/>
      <c r="AD170" s="369"/>
      <c r="AE170" s="376"/>
      <c r="AF170" s="376"/>
      <c r="AG170" s="376"/>
      <c r="AH170" s="376"/>
      <c r="AI170" s="375"/>
      <c r="AJ170" s="366"/>
      <c r="AK170" s="366"/>
      <c r="AL170" s="366"/>
      <c r="AM170" s="366"/>
      <c r="AN170" s="366"/>
      <c r="AO170" s="366"/>
      <c r="AP170" s="366"/>
      <c r="AQ170" s="366"/>
      <c r="AR170" s="366"/>
      <c r="AS170" s="366"/>
      <c r="AT170" s="366"/>
      <c r="AU170" s="366"/>
      <c r="AV170" s="366"/>
      <c r="AW170" s="366"/>
      <c r="AX170" s="366"/>
      <c r="AY170" s="366"/>
      <c r="AZ170" s="366"/>
      <c r="BA170" s="366"/>
      <c r="BB170" s="366"/>
      <c r="BC170" s="366"/>
      <c r="BD170" s="366"/>
      <c r="BE170" s="366"/>
      <c r="BF170" s="366"/>
      <c r="BG170" s="366"/>
      <c r="BH170" s="366"/>
      <c r="BI170" s="366"/>
      <c r="BJ170" s="366"/>
      <c r="BK170" s="366"/>
      <c r="BL170" s="366"/>
      <c r="BM170" s="366"/>
      <c r="BN170" s="366"/>
      <c r="BO170" s="366"/>
      <c r="BP170" s="366"/>
      <c r="BQ170" s="366"/>
      <c r="BR170" s="366"/>
      <c r="BS170" s="366"/>
      <c r="BT170" s="366"/>
      <c r="BU170" s="366"/>
      <c r="BV170" s="366"/>
      <c r="BW170" s="366"/>
      <c r="BX170" s="366"/>
      <c r="BY170" s="423"/>
      <c r="BZ170" s="423"/>
      <c r="CI170" s="356"/>
      <c r="CJ170" s="356"/>
      <c r="CK170" s="356"/>
      <c r="CP170" s="356"/>
      <c r="CQ170" s="356"/>
      <c r="CR170" s="356"/>
      <c r="CS170" s="356"/>
      <c r="CT170" s="356"/>
      <c r="CU170" s="356"/>
      <c r="CV170" s="356"/>
      <c r="CW170" s="356"/>
      <c r="CX170" s="356"/>
      <c r="CY170" s="356"/>
      <c r="CZ170" s="356"/>
      <c r="DA170" s="356"/>
      <c r="DB170" s="356"/>
      <c r="DC170" s="356"/>
      <c r="DD170" s="356"/>
      <c r="DE170" s="356"/>
      <c r="DF170" s="356"/>
      <c r="DG170" s="356"/>
      <c r="DH170" s="356"/>
      <c r="DI170" s="356"/>
      <c r="DJ170" s="356"/>
      <c r="DK170" s="356"/>
      <c r="DL170" s="356"/>
      <c r="DM170" s="356"/>
      <c r="DN170" s="356"/>
      <c r="DO170" s="356"/>
      <c r="DP170" s="356"/>
      <c r="DQ170" s="356"/>
    </row>
    <row r="171" spans="1:121" hidden="1" outlineLevel="1">
      <c r="A171" s="41"/>
      <c r="B171" s="364"/>
      <c r="C171" s="356"/>
      <c r="D171" s="356"/>
      <c r="E171" s="362"/>
      <c r="F171" s="362"/>
      <c r="G171" s="356"/>
      <c r="H171" s="364"/>
      <c r="I171" s="364"/>
      <c r="J171" s="366"/>
      <c r="K171" s="366"/>
      <c r="L171" s="366"/>
      <c r="M171" s="366"/>
      <c r="N171" s="366"/>
      <c r="O171" s="366"/>
      <c r="P171" s="366"/>
      <c r="Q171" s="366"/>
      <c r="R171" s="369"/>
      <c r="S171" s="369"/>
      <c r="T171" s="366"/>
      <c r="U171" s="427"/>
      <c r="V171" s="427"/>
      <c r="W171" s="372"/>
      <c r="X171" s="373"/>
      <c r="Y171" s="373"/>
      <c r="Z171" s="374"/>
      <c r="AA171" s="374"/>
      <c r="AB171" s="374"/>
      <c r="AC171" s="374"/>
      <c r="AD171" s="369"/>
      <c r="AE171" s="376"/>
      <c r="AF171" s="376"/>
      <c r="AG171" s="376"/>
      <c r="AH171" s="376"/>
      <c r="AI171" s="375"/>
      <c r="AJ171" s="366"/>
      <c r="AK171" s="366"/>
      <c r="AL171" s="366"/>
      <c r="AM171" s="366"/>
      <c r="AN171" s="366"/>
      <c r="AO171" s="366"/>
      <c r="AP171" s="366"/>
      <c r="AQ171" s="366"/>
      <c r="AR171" s="366"/>
      <c r="AS171" s="366"/>
      <c r="AT171" s="366"/>
      <c r="AU171" s="366"/>
      <c r="AV171" s="366"/>
      <c r="AW171" s="366"/>
      <c r="AX171" s="366"/>
      <c r="AY171" s="366"/>
      <c r="AZ171" s="366"/>
      <c r="BA171" s="366"/>
      <c r="BB171" s="366"/>
      <c r="BC171" s="366"/>
      <c r="BD171" s="366"/>
      <c r="BE171" s="366"/>
      <c r="BF171" s="366"/>
      <c r="BG171" s="366"/>
      <c r="BH171" s="366"/>
      <c r="BI171" s="366"/>
      <c r="BJ171" s="366"/>
      <c r="BK171" s="366"/>
      <c r="BL171" s="366"/>
      <c r="BM171" s="366"/>
      <c r="BN171" s="366"/>
      <c r="BO171" s="366"/>
      <c r="BP171" s="366"/>
      <c r="BQ171" s="366"/>
      <c r="BR171" s="366"/>
      <c r="BS171" s="366"/>
      <c r="BT171" s="366"/>
      <c r="BU171" s="366"/>
      <c r="BV171" s="366"/>
      <c r="BW171" s="366"/>
      <c r="BX171" s="366"/>
      <c r="BY171" s="423"/>
      <c r="BZ171" s="423"/>
      <c r="CI171" s="356"/>
      <c r="CJ171" s="356"/>
      <c r="CK171" s="356"/>
      <c r="CP171" s="356"/>
      <c r="CQ171" s="356"/>
      <c r="CR171" s="356"/>
      <c r="CS171" s="356"/>
      <c r="CT171" s="356"/>
      <c r="CU171" s="356"/>
      <c r="CV171" s="356"/>
      <c r="CW171" s="356"/>
      <c r="CX171" s="356"/>
      <c r="CY171" s="356"/>
      <c r="CZ171" s="356"/>
      <c r="DA171" s="356"/>
      <c r="DB171" s="356"/>
      <c r="DC171" s="356"/>
      <c r="DD171" s="356"/>
      <c r="DE171" s="356"/>
      <c r="DF171" s="356"/>
      <c r="DG171" s="356"/>
      <c r="DH171" s="356"/>
      <c r="DI171" s="356"/>
      <c r="DJ171" s="356"/>
      <c r="DK171" s="356"/>
      <c r="DL171" s="356"/>
      <c r="DM171" s="356"/>
      <c r="DN171" s="356"/>
      <c r="DO171" s="356"/>
      <c r="DP171" s="356"/>
      <c r="DQ171" s="356"/>
    </row>
    <row r="172" spans="1:121" hidden="1" outlineLevel="1">
      <c r="A172" s="41"/>
      <c r="B172" s="364"/>
      <c r="C172" s="356"/>
      <c r="D172" s="356"/>
      <c r="E172" s="362"/>
      <c r="F172" s="362"/>
      <c r="G172" s="356"/>
      <c r="H172" s="364"/>
      <c r="I172" s="364"/>
      <c r="J172" s="366"/>
      <c r="K172" s="366"/>
      <c r="L172" s="366"/>
      <c r="M172" s="366"/>
      <c r="N172" s="366"/>
      <c r="O172" s="366"/>
      <c r="P172" s="366"/>
      <c r="Q172" s="366"/>
      <c r="R172" s="369"/>
      <c r="S172" s="369"/>
      <c r="T172" s="366"/>
      <c r="U172" s="427"/>
      <c r="V172" s="427"/>
      <c r="W172" s="372"/>
      <c r="X172" s="373"/>
      <c r="Y172" s="373"/>
      <c r="Z172" s="374"/>
      <c r="AA172" s="374"/>
      <c r="AB172" s="374"/>
      <c r="AC172" s="374"/>
      <c r="AD172" s="369"/>
      <c r="AE172" s="376"/>
      <c r="AF172" s="376"/>
      <c r="AG172" s="376"/>
      <c r="AH172" s="376"/>
      <c r="AI172" s="375"/>
      <c r="AJ172" s="366"/>
      <c r="AK172" s="366"/>
      <c r="AL172" s="366"/>
      <c r="AM172" s="366"/>
      <c r="AN172" s="366"/>
      <c r="AO172" s="366"/>
      <c r="AP172" s="366"/>
      <c r="AQ172" s="366"/>
      <c r="AR172" s="366"/>
      <c r="AS172" s="366"/>
      <c r="AT172" s="366"/>
      <c r="AU172" s="366"/>
      <c r="AV172" s="366"/>
      <c r="AW172" s="366"/>
      <c r="AX172" s="366"/>
      <c r="AY172" s="366"/>
      <c r="AZ172" s="366"/>
      <c r="BA172" s="366"/>
      <c r="BB172" s="366"/>
      <c r="BC172" s="366"/>
      <c r="BD172" s="366"/>
      <c r="BE172" s="366"/>
      <c r="BF172" s="366"/>
      <c r="BG172" s="366"/>
      <c r="BH172" s="366"/>
      <c r="BI172" s="366"/>
      <c r="BJ172" s="366"/>
      <c r="BK172" s="366"/>
      <c r="BL172" s="366"/>
      <c r="BM172" s="366"/>
      <c r="BN172" s="366"/>
      <c r="BO172" s="366"/>
      <c r="BP172" s="366"/>
      <c r="BQ172" s="366"/>
      <c r="BR172" s="366"/>
      <c r="BS172" s="366"/>
      <c r="BT172" s="366"/>
      <c r="BU172" s="366"/>
      <c r="BV172" s="366"/>
      <c r="BW172" s="366"/>
      <c r="BX172" s="366"/>
      <c r="BY172" s="423"/>
      <c r="BZ172" s="423"/>
      <c r="CI172" s="356"/>
      <c r="CJ172" s="356"/>
      <c r="CK172" s="356"/>
      <c r="CP172" s="356"/>
      <c r="CQ172" s="356"/>
      <c r="CR172" s="356"/>
      <c r="CS172" s="356"/>
      <c r="CT172" s="356"/>
      <c r="CU172" s="356"/>
      <c r="CV172" s="356"/>
      <c r="CW172" s="356"/>
      <c r="CX172" s="356"/>
      <c r="CY172" s="356"/>
      <c r="CZ172" s="356"/>
      <c r="DA172" s="356"/>
      <c r="DB172" s="356"/>
      <c r="DC172" s="356"/>
      <c r="DD172" s="356"/>
      <c r="DE172" s="356"/>
      <c r="DF172" s="356"/>
      <c r="DG172" s="356"/>
      <c r="DH172" s="356"/>
      <c r="DI172" s="356"/>
      <c r="DJ172" s="356"/>
      <c r="DK172" s="356"/>
      <c r="DL172" s="356"/>
      <c r="DM172" s="356"/>
      <c r="DN172" s="356"/>
      <c r="DO172" s="356"/>
      <c r="DP172" s="356"/>
      <c r="DQ172" s="356"/>
    </row>
    <row r="173" spans="1:121" hidden="1" outlineLevel="1">
      <c r="A173" s="41"/>
      <c r="B173" s="364"/>
      <c r="C173" s="356"/>
      <c r="D173" s="356"/>
      <c r="E173" s="362"/>
      <c r="F173" s="362"/>
      <c r="G173" s="356"/>
      <c r="H173" s="364"/>
      <c r="I173" s="364"/>
      <c r="J173" s="366"/>
      <c r="K173" s="366"/>
      <c r="L173" s="366"/>
      <c r="M173" s="366"/>
      <c r="N173" s="366"/>
      <c r="O173" s="366"/>
      <c r="P173" s="366"/>
      <c r="Q173" s="366"/>
      <c r="R173" s="369"/>
      <c r="S173" s="369"/>
      <c r="T173" s="366"/>
      <c r="U173" s="427"/>
      <c r="V173" s="427"/>
      <c r="W173" s="372"/>
      <c r="X173" s="373"/>
      <c r="Y173" s="373"/>
      <c r="Z173" s="374"/>
      <c r="AA173" s="374"/>
      <c r="AB173" s="374"/>
      <c r="AC173" s="374"/>
      <c r="AD173" s="369"/>
      <c r="AE173" s="376"/>
      <c r="AF173" s="376"/>
      <c r="AG173" s="376"/>
      <c r="AH173" s="376"/>
      <c r="AI173" s="375"/>
      <c r="AJ173" s="366"/>
      <c r="AK173" s="366"/>
      <c r="AL173" s="366"/>
      <c r="AM173" s="366"/>
      <c r="AN173" s="366"/>
      <c r="AO173" s="366"/>
      <c r="AP173" s="366"/>
      <c r="AQ173" s="366"/>
      <c r="AR173" s="366"/>
      <c r="AS173" s="366"/>
      <c r="AT173" s="366"/>
      <c r="AU173" s="366"/>
      <c r="AV173" s="366"/>
      <c r="AW173" s="366"/>
      <c r="AX173" s="366"/>
      <c r="AY173" s="366"/>
      <c r="AZ173" s="366"/>
      <c r="BA173" s="366"/>
      <c r="BB173" s="366"/>
      <c r="BC173" s="366"/>
      <c r="BD173" s="366"/>
      <c r="BE173" s="366"/>
      <c r="BF173" s="366"/>
      <c r="BG173" s="366"/>
      <c r="BH173" s="366"/>
      <c r="BI173" s="366"/>
      <c r="BJ173" s="366"/>
      <c r="BK173" s="366"/>
      <c r="BL173" s="366"/>
      <c r="BM173" s="366"/>
      <c r="BN173" s="366"/>
      <c r="BO173" s="366"/>
      <c r="BP173" s="366"/>
      <c r="BQ173" s="366"/>
      <c r="BR173" s="366"/>
      <c r="BS173" s="366"/>
      <c r="BT173" s="366"/>
      <c r="BU173" s="366"/>
      <c r="BV173" s="366"/>
      <c r="BW173" s="366"/>
      <c r="BX173" s="366"/>
      <c r="BY173" s="423"/>
      <c r="BZ173" s="423"/>
      <c r="CI173" s="356"/>
      <c r="CJ173" s="356"/>
      <c r="CK173" s="356"/>
      <c r="CP173" s="356"/>
      <c r="CQ173" s="356"/>
      <c r="CR173" s="356"/>
      <c r="CS173" s="356"/>
      <c r="CT173" s="356"/>
      <c r="CU173" s="356"/>
      <c r="CV173" s="356"/>
      <c r="CW173" s="356"/>
      <c r="CX173" s="356"/>
      <c r="CY173" s="356"/>
      <c r="CZ173" s="356"/>
      <c r="DA173" s="356"/>
      <c r="DB173" s="356"/>
      <c r="DC173" s="356"/>
      <c r="DD173" s="356"/>
      <c r="DE173" s="356"/>
      <c r="DF173" s="356"/>
      <c r="DG173" s="356"/>
      <c r="DH173" s="356"/>
      <c r="DI173" s="356"/>
      <c r="DJ173" s="356"/>
      <c r="DK173" s="356"/>
      <c r="DL173" s="356"/>
      <c r="DM173" s="356"/>
      <c r="DN173" s="356"/>
      <c r="DO173" s="356"/>
      <c r="DP173" s="356"/>
      <c r="DQ173" s="356"/>
    </row>
    <row r="174" spans="1:121" hidden="1" outlineLevel="1">
      <c r="A174" s="41"/>
      <c r="B174" s="364"/>
      <c r="C174" s="356"/>
      <c r="D174" s="356"/>
      <c r="E174" s="362"/>
      <c r="F174" s="362"/>
      <c r="G174" s="356"/>
      <c r="H174" s="364"/>
      <c r="I174" s="364"/>
      <c r="J174" s="366"/>
      <c r="K174" s="366"/>
      <c r="L174" s="366"/>
      <c r="M174" s="366"/>
      <c r="N174" s="366"/>
      <c r="O174" s="366"/>
      <c r="P174" s="366"/>
      <c r="Q174" s="366"/>
      <c r="R174" s="369"/>
      <c r="S174" s="369"/>
      <c r="T174" s="366"/>
      <c r="U174" s="427"/>
      <c r="V174" s="427"/>
      <c r="W174" s="372"/>
      <c r="X174" s="373"/>
      <c r="Y174" s="373"/>
      <c r="Z174" s="374"/>
      <c r="AA174" s="374"/>
      <c r="AB174" s="374"/>
      <c r="AC174" s="374"/>
      <c r="AD174" s="369"/>
      <c r="AE174" s="376"/>
      <c r="AF174" s="376"/>
      <c r="AG174" s="376"/>
      <c r="AH174" s="376"/>
      <c r="AI174" s="375"/>
      <c r="AJ174" s="366"/>
      <c r="AK174" s="366"/>
      <c r="AL174" s="366"/>
      <c r="AM174" s="366"/>
      <c r="AN174" s="366"/>
      <c r="AO174" s="366"/>
      <c r="AP174" s="366"/>
      <c r="AQ174" s="366"/>
      <c r="AR174" s="366"/>
      <c r="AS174" s="366"/>
      <c r="AT174" s="366"/>
      <c r="AU174" s="366"/>
      <c r="AV174" s="366"/>
      <c r="AW174" s="366"/>
      <c r="AX174" s="366"/>
      <c r="AY174" s="366"/>
      <c r="AZ174" s="366"/>
      <c r="BA174" s="366"/>
      <c r="BB174" s="366"/>
      <c r="BC174" s="366"/>
      <c r="BD174" s="366"/>
      <c r="BE174" s="366"/>
      <c r="BF174" s="366"/>
      <c r="BG174" s="366"/>
      <c r="BH174" s="366"/>
      <c r="BI174" s="366"/>
      <c r="BJ174" s="366"/>
      <c r="BK174" s="366"/>
      <c r="BL174" s="366"/>
      <c r="BM174" s="366"/>
      <c r="BN174" s="366"/>
      <c r="BO174" s="366"/>
      <c r="BP174" s="366"/>
      <c r="BQ174" s="366"/>
      <c r="BR174" s="366"/>
      <c r="BS174" s="366"/>
      <c r="BT174" s="366"/>
      <c r="BU174" s="366"/>
      <c r="BV174" s="366"/>
      <c r="BW174" s="366"/>
      <c r="BX174" s="366"/>
      <c r="BY174" s="423"/>
      <c r="BZ174" s="423"/>
      <c r="CI174" s="356"/>
      <c r="CJ174" s="356"/>
      <c r="CK174" s="356"/>
      <c r="CP174" s="356"/>
      <c r="CQ174" s="356"/>
      <c r="CR174" s="356"/>
      <c r="CS174" s="356"/>
      <c r="CT174" s="356"/>
      <c r="CU174" s="356"/>
      <c r="CV174" s="356"/>
      <c r="CW174" s="356"/>
      <c r="CX174" s="356"/>
      <c r="CY174" s="356"/>
      <c r="CZ174" s="356"/>
      <c r="DA174" s="356"/>
      <c r="DB174" s="356"/>
      <c r="DC174" s="356"/>
      <c r="DD174" s="356"/>
      <c r="DE174" s="356"/>
      <c r="DF174" s="356"/>
      <c r="DG174" s="356"/>
      <c r="DH174" s="356"/>
      <c r="DI174" s="356"/>
      <c r="DJ174" s="356"/>
      <c r="DK174" s="356"/>
      <c r="DL174" s="356"/>
      <c r="DM174" s="356"/>
      <c r="DN174" s="356"/>
      <c r="DO174" s="356"/>
      <c r="DP174" s="356"/>
      <c r="DQ174" s="356"/>
    </row>
    <row r="175" spans="1:121" hidden="1" outlineLevel="1">
      <c r="A175" s="41"/>
      <c r="B175" s="364"/>
      <c r="C175" s="356"/>
      <c r="D175" s="356"/>
      <c r="E175" s="362"/>
      <c r="F175" s="362"/>
      <c r="G175" s="356"/>
      <c r="H175" s="364"/>
      <c r="I175" s="364"/>
      <c r="J175" s="366"/>
      <c r="K175" s="366"/>
      <c r="L175" s="366"/>
      <c r="M175" s="366"/>
      <c r="N175" s="366"/>
      <c r="O175" s="366"/>
      <c r="P175" s="366"/>
      <c r="Q175" s="366"/>
      <c r="R175" s="369"/>
      <c r="S175" s="369"/>
      <c r="T175" s="366"/>
      <c r="U175" s="427"/>
      <c r="V175" s="427"/>
      <c r="W175" s="372"/>
      <c r="X175" s="373"/>
      <c r="Y175" s="373"/>
      <c r="Z175" s="374"/>
      <c r="AA175" s="374"/>
      <c r="AB175" s="374"/>
      <c r="AC175" s="374"/>
      <c r="AD175" s="369"/>
      <c r="AE175" s="376"/>
      <c r="AF175" s="376"/>
      <c r="AG175" s="376"/>
      <c r="AH175" s="376"/>
      <c r="AI175" s="375"/>
      <c r="AJ175" s="366"/>
      <c r="AK175" s="366"/>
      <c r="AL175" s="366"/>
      <c r="AM175" s="366"/>
      <c r="AN175" s="366"/>
      <c r="AO175" s="366"/>
      <c r="AP175" s="366"/>
      <c r="AQ175" s="366"/>
      <c r="AR175" s="366"/>
      <c r="AS175" s="366"/>
      <c r="AT175" s="366"/>
      <c r="AU175" s="366"/>
      <c r="AV175" s="366"/>
      <c r="AW175" s="366"/>
      <c r="AX175" s="366"/>
      <c r="AY175" s="366"/>
      <c r="AZ175" s="366"/>
      <c r="BA175" s="366"/>
      <c r="BB175" s="366"/>
      <c r="BC175" s="366"/>
      <c r="BD175" s="366"/>
      <c r="BE175" s="366"/>
      <c r="BF175" s="366"/>
      <c r="BG175" s="366"/>
      <c r="BH175" s="366"/>
      <c r="BI175" s="366"/>
      <c r="BJ175" s="366"/>
      <c r="BK175" s="366"/>
      <c r="BL175" s="366"/>
      <c r="BM175" s="366"/>
      <c r="BN175" s="366"/>
      <c r="BO175" s="366"/>
      <c r="BP175" s="366"/>
      <c r="BQ175" s="366"/>
      <c r="BR175" s="366"/>
      <c r="BS175" s="366"/>
      <c r="BT175" s="366"/>
      <c r="BU175" s="366"/>
      <c r="BV175" s="366"/>
      <c r="BW175" s="366"/>
      <c r="BX175" s="366"/>
      <c r="BY175" s="423"/>
      <c r="BZ175" s="423"/>
      <c r="CI175" s="356"/>
      <c r="CJ175" s="356"/>
      <c r="CK175" s="356"/>
      <c r="CP175" s="356"/>
      <c r="CQ175" s="356"/>
      <c r="CR175" s="356"/>
      <c r="CS175" s="356"/>
      <c r="CT175" s="356"/>
      <c r="CU175" s="356"/>
      <c r="CV175" s="356"/>
      <c r="CW175" s="356"/>
      <c r="CX175" s="356"/>
      <c r="CY175" s="356"/>
      <c r="CZ175" s="356"/>
      <c r="DA175" s="356"/>
      <c r="DB175" s="356"/>
      <c r="DC175" s="356"/>
      <c r="DD175" s="356"/>
      <c r="DE175" s="356"/>
      <c r="DF175" s="356"/>
      <c r="DG175" s="356"/>
      <c r="DH175" s="356"/>
      <c r="DI175" s="356"/>
      <c r="DJ175" s="356"/>
      <c r="DK175" s="356"/>
      <c r="DL175" s="356"/>
      <c r="DM175" s="356"/>
      <c r="DN175" s="356"/>
      <c r="DO175" s="356"/>
      <c r="DP175" s="356"/>
      <c r="DQ175" s="356"/>
    </row>
    <row r="176" spans="1:121" hidden="1" outlineLevel="1">
      <c r="A176" s="41"/>
      <c r="B176" s="364"/>
      <c r="C176" s="356"/>
      <c r="D176" s="356"/>
      <c r="E176" s="362"/>
      <c r="F176" s="362"/>
      <c r="G176" s="356"/>
      <c r="H176" s="364"/>
      <c r="I176" s="364"/>
      <c r="J176" s="366"/>
      <c r="K176" s="366"/>
      <c r="L176" s="366"/>
      <c r="M176" s="366"/>
      <c r="N176" s="366"/>
      <c r="O176" s="366"/>
      <c r="P176" s="366"/>
      <c r="Q176" s="366"/>
      <c r="R176" s="369"/>
      <c r="S176" s="369"/>
      <c r="T176" s="366"/>
      <c r="U176" s="427"/>
      <c r="V176" s="427"/>
      <c r="W176" s="372"/>
      <c r="X176" s="373"/>
      <c r="Y176" s="373"/>
      <c r="Z176" s="374"/>
      <c r="AA176" s="374"/>
      <c r="AB176" s="374"/>
      <c r="AC176" s="374"/>
      <c r="AD176" s="369"/>
      <c r="AE176" s="376"/>
      <c r="AF176" s="376"/>
      <c r="AG176" s="376"/>
      <c r="AH176" s="376"/>
      <c r="AI176" s="375"/>
      <c r="AJ176" s="366"/>
      <c r="AK176" s="366"/>
      <c r="AL176" s="366"/>
      <c r="AM176" s="366"/>
      <c r="AN176" s="366"/>
      <c r="AO176" s="366"/>
      <c r="AP176" s="366"/>
      <c r="AQ176" s="366"/>
      <c r="AR176" s="366"/>
      <c r="AS176" s="366"/>
      <c r="AT176" s="366"/>
      <c r="AU176" s="366"/>
      <c r="AV176" s="366"/>
      <c r="AW176" s="366"/>
      <c r="AX176" s="366"/>
      <c r="AY176" s="366"/>
      <c r="AZ176" s="366"/>
      <c r="BA176" s="366"/>
      <c r="BB176" s="366"/>
      <c r="BC176" s="366"/>
      <c r="BD176" s="366"/>
      <c r="BE176" s="366"/>
      <c r="BF176" s="366"/>
      <c r="BG176" s="366"/>
      <c r="BH176" s="366"/>
      <c r="BI176" s="366"/>
      <c r="BJ176" s="366"/>
      <c r="BK176" s="366"/>
      <c r="BL176" s="366"/>
      <c r="BM176" s="366"/>
      <c r="BN176" s="366"/>
      <c r="BO176" s="366"/>
      <c r="BP176" s="366"/>
      <c r="BQ176" s="366"/>
      <c r="BR176" s="366"/>
      <c r="BS176" s="366"/>
      <c r="BT176" s="366"/>
      <c r="BU176" s="366"/>
      <c r="BV176" s="366"/>
      <c r="BW176" s="366"/>
      <c r="BX176" s="366"/>
      <c r="BY176" s="423"/>
      <c r="BZ176" s="423"/>
      <c r="CI176" s="356"/>
      <c r="CJ176" s="356"/>
      <c r="CK176" s="356"/>
      <c r="CP176" s="356"/>
      <c r="CQ176" s="356"/>
      <c r="CR176" s="356"/>
      <c r="CS176" s="356"/>
      <c r="CT176" s="356"/>
      <c r="CU176" s="356"/>
      <c r="CV176" s="356"/>
      <c r="CW176" s="356"/>
      <c r="CX176" s="356"/>
      <c r="CY176" s="356"/>
      <c r="CZ176" s="356"/>
      <c r="DA176" s="356"/>
      <c r="DB176" s="356"/>
      <c r="DC176" s="356"/>
      <c r="DD176" s="356"/>
      <c r="DE176" s="356"/>
      <c r="DF176" s="356"/>
      <c r="DG176" s="356"/>
      <c r="DH176" s="356"/>
      <c r="DI176" s="356"/>
      <c r="DJ176" s="356"/>
      <c r="DK176" s="356"/>
      <c r="DL176" s="356"/>
      <c r="DM176" s="356"/>
      <c r="DN176" s="356"/>
      <c r="DO176" s="356"/>
      <c r="DP176" s="356"/>
      <c r="DQ176" s="356"/>
    </row>
    <row r="177" spans="1:121" hidden="1" outlineLevel="1">
      <c r="A177" s="41"/>
      <c r="B177" s="364"/>
      <c r="C177" s="356"/>
      <c r="D177" s="356"/>
      <c r="E177" s="362"/>
      <c r="F177" s="362"/>
      <c r="G177" s="356"/>
      <c r="H177" s="364"/>
      <c r="I177" s="364"/>
      <c r="J177" s="366"/>
      <c r="K177" s="366"/>
      <c r="L177" s="366"/>
      <c r="M177" s="366"/>
      <c r="N177" s="366"/>
      <c r="O177" s="366"/>
      <c r="P177" s="366"/>
      <c r="Q177" s="366"/>
      <c r="R177" s="369"/>
      <c r="S177" s="369"/>
      <c r="T177" s="366"/>
      <c r="U177" s="427"/>
      <c r="V177" s="427"/>
      <c r="W177" s="372"/>
      <c r="X177" s="373"/>
      <c r="Y177" s="373"/>
      <c r="Z177" s="374"/>
      <c r="AA177" s="374"/>
      <c r="AB177" s="374"/>
      <c r="AC177" s="374"/>
      <c r="AD177" s="369"/>
      <c r="AE177" s="376"/>
      <c r="AF177" s="376"/>
      <c r="AG177" s="376"/>
      <c r="AH177" s="376"/>
      <c r="AI177" s="375"/>
      <c r="AJ177" s="366"/>
      <c r="AK177" s="366"/>
      <c r="AL177" s="366"/>
      <c r="AM177" s="366"/>
      <c r="AN177" s="366"/>
      <c r="AO177" s="366"/>
      <c r="AP177" s="366"/>
      <c r="AQ177" s="366"/>
      <c r="AR177" s="366"/>
      <c r="AS177" s="366"/>
      <c r="AT177" s="366"/>
      <c r="AU177" s="366"/>
      <c r="AV177" s="366"/>
      <c r="AW177" s="366"/>
      <c r="AX177" s="366"/>
      <c r="AY177" s="366"/>
      <c r="AZ177" s="366"/>
      <c r="BA177" s="366"/>
      <c r="BB177" s="366"/>
      <c r="BC177" s="366"/>
      <c r="BD177" s="366"/>
      <c r="BE177" s="366"/>
      <c r="BF177" s="366"/>
      <c r="BG177" s="366"/>
      <c r="BH177" s="366"/>
      <c r="BI177" s="366"/>
      <c r="BJ177" s="366"/>
      <c r="BK177" s="366"/>
      <c r="BL177" s="366"/>
      <c r="BM177" s="366"/>
      <c r="BN177" s="366"/>
      <c r="BO177" s="366"/>
      <c r="BP177" s="366"/>
      <c r="BQ177" s="366"/>
      <c r="BR177" s="366"/>
      <c r="BS177" s="366"/>
      <c r="BT177" s="366"/>
      <c r="BU177" s="366"/>
      <c r="BV177" s="366"/>
      <c r="BW177" s="366"/>
      <c r="BX177" s="366"/>
      <c r="BY177" s="423"/>
      <c r="BZ177" s="423"/>
      <c r="CI177" s="356"/>
      <c r="CJ177" s="356"/>
      <c r="CK177" s="356"/>
      <c r="CP177" s="356"/>
      <c r="CQ177" s="356"/>
      <c r="CR177" s="356"/>
      <c r="CS177" s="356"/>
      <c r="CT177" s="356"/>
      <c r="CU177" s="356"/>
      <c r="CV177" s="356"/>
      <c r="CW177" s="356"/>
      <c r="CX177" s="356"/>
      <c r="CY177" s="356"/>
      <c r="CZ177" s="356"/>
      <c r="DA177" s="356"/>
      <c r="DB177" s="356"/>
      <c r="DC177" s="356"/>
      <c r="DD177" s="356"/>
      <c r="DE177" s="356"/>
      <c r="DF177" s="356"/>
      <c r="DG177" s="356"/>
      <c r="DH177" s="356"/>
      <c r="DI177" s="356"/>
      <c r="DJ177" s="356"/>
      <c r="DK177" s="356"/>
      <c r="DL177" s="356"/>
      <c r="DM177" s="356"/>
      <c r="DN177" s="356"/>
      <c r="DO177" s="356"/>
      <c r="DP177" s="356"/>
      <c r="DQ177" s="356"/>
    </row>
    <row r="178" spans="1:121" hidden="1" outlineLevel="1">
      <c r="A178" s="41"/>
      <c r="B178" s="364"/>
      <c r="C178" s="356"/>
      <c r="D178" s="356"/>
      <c r="E178" s="362"/>
      <c r="F178" s="362"/>
      <c r="G178" s="356"/>
      <c r="H178" s="364"/>
      <c r="I178" s="364"/>
      <c r="J178" s="366"/>
      <c r="K178" s="366"/>
      <c r="L178" s="366"/>
      <c r="M178" s="366"/>
      <c r="N178" s="366"/>
      <c r="O178" s="366"/>
      <c r="P178" s="366"/>
      <c r="Q178" s="366"/>
      <c r="R178" s="369"/>
      <c r="S178" s="369"/>
      <c r="T178" s="366"/>
      <c r="U178" s="427"/>
      <c r="V178" s="427"/>
      <c r="W178" s="372"/>
      <c r="X178" s="373"/>
      <c r="Y178" s="373"/>
      <c r="Z178" s="374"/>
      <c r="AA178" s="374"/>
      <c r="AB178" s="374"/>
      <c r="AC178" s="374"/>
      <c r="AD178" s="369"/>
      <c r="AE178" s="376"/>
      <c r="AF178" s="376"/>
      <c r="AG178" s="376"/>
      <c r="AH178" s="376"/>
      <c r="AI178" s="375"/>
      <c r="AJ178" s="366"/>
      <c r="AK178" s="366"/>
      <c r="AL178" s="366"/>
      <c r="AM178" s="366"/>
      <c r="AN178" s="366"/>
      <c r="AO178" s="366"/>
      <c r="AP178" s="366"/>
      <c r="AQ178" s="366"/>
      <c r="AR178" s="366"/>
      <c r="AS178" s="366"/>
      <c r="AT178" s="366"/>
      <c r="AU178" s="366"/>
      <c r="AV178" s="366"/>
      <c r="AW178" s="366"/>
      <c r="AX178" s="366"/>
      <c r="AY178" s="366"/>
      <c r="AZ178" s="366"/>
      <c r="BA178" s="366"/>
      <c r="BB178" s="366"/>
      <c r="BC178" s="366"/>
      <c r="BD178" s="366"/>
      <c r="BE178" s="366"/>
      <c r="BF178" s="366"/>
      <c r="BG178" s="366"/>
      <c r="BH178" s="366"/>
      <c r="BI178" s="366"/>
      <c r="BJ178" s="366"/>
      <c r="BK178" s="366"/>
      <c r="BL178" s="366"/>
      <c r="BM178" s="366"/>
      <c r="BN178" s="366"/>
      <c r="BO178" s="366"/>
      <c r="BP178" s="366"/>
      <c r="BQ178" s="366"/>
      <c r="BR178" s="366"/>
      <c r="BS178" s="366"/>
      <c r="BT178" s="366"/>
      <c r="BU178" s="366"/>
      <c r="BV178" s="366"/>
      <c r="BW178" s="366"/>
      <c r="BX178" s="366"/>
      <c r="BY178" s="423"/>
      <c r="BZ178" s="423"/>
      <c r="CI178" s="356"/>
      <c r="CJ178" s="356"/>
      <c r="CK178" s="356"/>
      <c r="CP178" s="356"/>
      <c r="CQ178" s="356"/>
      <c r="CR178" s="356"/>
      <c r="CS178" s="356"/>
      <c r="CT178" s="356"/>
      <c r="CU178" s="356"/>
      <c r="CV178" s="356"/>
      <c r="CW178" s="356"/>
      <c r="CX178" s="356"/>
      <c r="CY178" s="356"/>
      <c r="CZ178" s="356"/>
      <c r="DA178" s="356"/>
      <c r="DB178" s="356"/>
      <c r="DC178" s="356"/>
      <c r="DD178" s="356"/>
      <c r="DE178" s="356"/>
      <c r="DF178" s="356"/>
      <c r="DG178" s="356"/>
      <c r="DH178" s="356"/>
      <c r="DI178" s="356"/>
      <c r="DJ178" s="356"/>
      <c r="DK178" s="356"/>
      <c r="DL178" s="356"/>
      <c r="DM178" s="356"/>
      <c r="DN178" s="356"/>
      <c r="DO178" s="356"/>
      <c r="DP178" s="356"/>
      <c r="DQ178" s="356"/>
    </row>
    <row r="179" spans="1:121" hidden="1" outlineLevel="1">
      <c r="A179" s="41"/>
      <c r="B179" s="364"/>
      <c r="C179" s="356"/>
      <c r="D179" s="356"/>
      <c r="E179" s="362"/>
      <c r="F179" s="362"/>
      <c r="G179" s="356"/>
      <c r="H179" s="364"/>
      <c r="I179" s="364"/>
      <c r="J179" s="366"/>
      <c r="K179" s="366"/>
      <c r="L179" s="366"/>
      <c r="M179" s="366"/>
      <c r="N179" s="366"/>
      <c r="O179" s="366"/>
      <c r="P179" s="366"/>
      <c r="Q179" s="366"/>
      <c r="R179" s="369"/>
      <c r="S179" s="369"/>
      <c r="T179" s="366"/>
      <c r="U179" s="427"/>
      <c r="V179" s="427"/>
      <c r="W179" s="372"/>
      <c r="X179" s="373"/>
      <c r="Y179" s="373"/>
      <c r="Z179" s="374"/>
      <c r="AA179" s="374"/>
      <c r="AB179" s="374"/>
      <c r="AC179" s="374"/>
      <c r="AD179" s="369"/>
      <c r="AE179" s="376"/>
      <c r="AF179" s="376"/>
      <c r="AG179" s="376"/>
      <c r="AH179" s="376"/>
      <c r="AI179" s="375"/>
      <c r="AJ179" s="366"/>
      <c r="AK179" s="366"/>
      <c r="AL179" s="366"/>
      <c r="AM179" s="366"/>
      <c r="AN179" s="366"/>
      <c r="AO179" s="366"/>
      <c r="AP179" s="366"/>
      <c r="AQ179" s="366"/>
      <c r="AR179" s="366"/>
      <c r="AS179" s="366"/>
      <c r="AT179" s="366"/>
      <c r="AU179" s="366"/>
      <c r="AV179" s="366"/>
      <c r="AW179" s="366"/>
      <c r="AX179" s="366"/>
      <c r="AY179" s="366"/>
      <c r="AZ179" s="366"/>
      <c r="BA179" s="366"/>
      <c r="BB179" s="366"/>
      <c r="BC179" s="366"/>
      <c r="BD179" s="366"/>
      <c r="BE179" s="366"/>
      <c r="BF179" s="366"/>
      <c r="BG179" s="366"/>
      <c r="BH179" s="366"/>
      <c r="BI179" s="366"/>
      <c r="BJ179" s="366"/>
      <c r="BK179" s="366"/>
      <c r="BL179" s="366"/>
      <c r="BM179" s="366"/>
      <c r="BN179" s="366"/>
      <c r="BO179" s="366"/>
      <c r="BP179" s="366"/>
      <c r="BQ179" s="366"/>
      <c r="BR179" s="366"/>
      <c r="BS179" s="366"/>
      <c r="BT179" s="366"/>
      <c r="BU179" s="366"/>
      <c r="BV179" s="366"/>
      <c r="BW179" s="366"/>
      <c r="BX179" s="366"/>
      <c r="BY179" s="423"/>
      <c r="BZ179" s="423"/>
      <c r="CI179" s="356"/>
      <c r="CJ179" s="356"/>
      <c r="CK179" s="356"/>
      <c r="CP179" s="356"/>
      <c r="CQ179" s="356"/>
      <c r="CR179" s="356"/>
      <c r="CS179" s="356"/>
      <c r="CT179" s="356"/>
      <c r="CU179" s="356"/>
      <c r="CV179" s="356"/>
      <c r="CW179" s="356"/>
      <c r="CX179" s="356"/>
      <c r="CY179" s="356"/>
      <c r="CZ179" s="356"/>
      <c r="DA179" s="356"/>
      <c r="DB179" s="356"/>
      <c r="DC179" s="356"/>
      <c r="DD179" s="356"/>
      <c r="DE179" s="356"/>
      <c r="DF179" s="356"/>
      <c r="DG179" s="356"/>
      <c r="DH179" s="356"/>
      <c r="DI179" s="356"/>
      <c r="DJ179" s="356"/>
      <c r="DK179" s="356"/>
      <c r="DL179" s="356"/>
      <c r="DM179" s="356"/>
      <c r="DN179" s="356"/>
      <c r="DO179" s="356"/>
      <c r="DP179" s="356"/>
      <c r="DQ179" s="356"/>
    </row>
    <row r="180" spans="1:121" hidden="1" outlineLevel="1">
      <c r="A180" s="41"/>
      <c r="B180" s="364"/>
      <c r="C180" s="356"/>
      <c r="D180" s="356"/>
      <c r="E180" s="362"/>
      <c r="F180" s="362"/>
      <c r="G180" s="356"/>
      <c r="H180" s="364"/>
      <c r="I180" s="364"/>
      <c r="J180" s="366"/>
      <c r="K180" s="366"/>
      <c r="L180" s="366"/>
      <c r="M180" s="366"/>
      <c r="N180" s="366"/>
      <c r="O180" s="366"/>
      <c r="P180" s="366"/>
      <c r="Q180" s="366"/>
      <c r="R180" s="369"/>
      <c r="S180" s="369"/>
      <c r="T180" s="366"/>
      <c r="U180" s="427"/>
      <c r="V180" s="427"/>
      <c r="W180" s="372"/>
      <c r="X180" s="373"/>
      <c r="Y180" s="373"/>
      <c r="Z180" s="374"/>
      <c r="AA180" s="374"/>
      <c r="AB180" s="374"/>
      <c r="AC180" s="374"/>
      <c r="AD180" s="369"/>
      <c r="AE180" s="376"/>
      <c r="AF180" s="376"/>
      <c r="AG180" s="376"/>
      <c r="AH180" s="376"/>
      <c r="AI180" s="375"/>
      <c r="AJ180" s="366"/>
      <c r="AK180" s="366"/>
      <c r="AL180" s="366"/>
      <c r="AM180" s="366"/>
      <c r="AN180" s="366"/>
      <c r="AO180" s="366"/>
      <c r="AP180" s="366"/>
      <c r="AQ180" s="366"/>
      <c r="AR180" s="366"/>
      <c r="AS180" s="366"/>
      <c r="AT180" s="366"/>
      <c r="AU180" s="366"/>
      <c r="AV180" s="366"/>
      <c r="AW180" s="366"/>
      <c r="AX180" s="366"/>
      <c r="AY180" s="366"/>
      <c r="AZ180" s="366"/>
      <c r="BA180" s="366"/>
      <c r="BB180" s="366"/>
      <c r="BC180" s="366"/>
      <c r="BD180" s="366"/>
      <c r="BE180" s="366"/>
      <c r="BF180" s="366"/>
      <c r="BG180" s="366"/>
      <c r="BH180" s="366"/>
      <c r="BI180" s="366"/>
      <c r="BJ180" s="366"/>
      <c r="BK180" s="366"/>
      <c r="BL180" s="366"/>
      <c r="BM180" s="366"/>
      <c r="BN180" s="366"/>
      <c r="BO180" s="366"/>
      <c r="BP180" s="366"/>
      <c r="BQ180" s="366"/>
      <c r="BR180" s="366"/>
      <c r="BS180" s="366"/>
      <c r="BT180" s="366"/>
      <c r="BU180" s="366"/>
      <c r="BV180" s="366"/>
      <c r="BW180" s="366"/>
      <c r="BX180" s="366"/>
      <c r="BY180" s="423"/>
      <c r="BZ180" s="423"/>
      <c r="CI180" s="356"/>
      <c r="CJ180" s="356"/>
      <c r="CK180" s="356"/>
      <c r="CP180" s="356"/>
      <c r="CQ180" s="356"/>
      <c r="CR180" s="356"/>
      <c r="CS180" s="356"/>
      <c r="CT180" s="356"/>
      <c r="CU180" s="356"/>
      <c r="CV180" s="356"/>
      <c r="CW180" s="356"/>
      <c r="CX180" s="356"/>
      <c r="CY180" s="356"/>
      <c r="CZ180" s="356"/>
      <c r="DA180" s="356"/>
      <c r="DB180" s="356"/>
      <c r="DC180" s="356"/>
      <c r="DD180" s="356"/>
      <c r="DE180" s="356"/>
      <c r="DF180" s="356"/>
      <c r="DG180" s="356"/>
      <c r="DH180" s="356"/>
      <c r="DI180" s="356"/>
      <c r="DJ180" s="356"/>
      <c r="DK180" s="356"/>
      <c r="DL180" s="356"/>
      <c r="DM180" s="356"/>
      <c r="DN180" s="356"/>
      <c r="DO180" s="356"/>
      <c r="DP180" s="356"/>
      <c r="DQ180" s="356"/>
    </row>
    <row r="181" spans="1:121" hidden="1" outlineLevel="1">
      <c r="A181" s="41"/>
      <c r="B181" s="364"/>
      <c r="C181" s="356"/>
      <c r="D181" s="356"/>
      <c r="E181" s="362"/>
      <c r="F181" s="362"/>
      <c r="G181" s="356"/>
      <c r="H181" s="364"/>
      <c r="I181" s="364"/>
      <c r="J181" s="366"/>
      <c r="K181" s="366"/>
      <c r="L181" s="366"/>
      <c r="M181" s="366"/>
      <c r="N181" s="366"/>
      <c r="O181" s="366"/>
      <c r="P181" s="366"/>
      <c r="Q181" s="366"/>
      <c r="R181" s="369"/>
      <c r="S181" s="369"/>
      <c r="T181" s="366"/>
      <c r="U181" s="427"/>
      <c r="V181" s="427"/>
      <c r="W181" s="372"/>
      <c r="X181" s="373"/>
      <c r="Y181" s="373"/>
      <c r="Z181" s="374"/>
      <c r="AA181" s="374"/>
      <c r="AB181" s="374"/>
      <c r="AC181" s="374"/>
      <c r="AD181" s="369"/>
      <c r="AE181" s="376"/>
      <c r="AF181" s="376"/>
      <c r="AG181" s="376"/>
      <c r="AH181" s="376"/>
      <c r="AI181" s="375"/>
      <c r="AJ181" s="366"/>
      <c r="AK181" s="366"/>
      <c r="AL181" s="366"/>
      <c r="AM181" s="366"/>
      <c r="AN181" s="366"/>
      <c r="AO181" s="366"/>
      <c r="AP181" s="366"/>
      <c r="AQ181" s="366"/>
      <c r="AR181" s="366"/>
      <c r="AS181" s="366"/>
      <c r="AT181" s="366"/>
      <c r="AU181" s="366"/>
      <c r="AV181" s="366"/>
      <c r="AW181" s="366"/>
      <c r="AX181" s="366"/>
      <c r="AY181" s="366"/>
      <c r="AZ181" s="366"/>
      <c r="BA181" s="366"/>
      <c r="BB181" s="366"/>
      <c r="BC181" s="366"/>
      <c r="BD181" s="366"/>
      <c r="BE181" s="366"/>
      <c r="BF181" s="366"/>
      <c r="BG181" s="366"/>
      <c r="BH181" s="366"/>
      <c r="BI181" s="366"/>
      <c r="BJ181" s="366"/>
      <c r="BK181" s="366"/>
      <c r="BL181" s="366"/>
      <c r="BM181" s="366"/>
      <c r="BN181" s="366"/>
      <c r="BO181" s="366"/>
      <c r="BP181" s="366"/>
      <c r="BQ181" s="366"/>
      <c r="BR181" s="366"/>
      <c r="BS181" s="366"/>
      <c r="BT181" s="366"/>
      <c r="BU181" s="366"/>
      <c r="BV181" s="366"/>
      <c r="BW181" s="366"/>
      <c r="BX181" s="366"/>
      <c r="BY181" s="423"/>
      <c r="BZ181" s="423"/>
      <c r="CI181" s="356"/>
      <c r="CJ181" s="356"/>
      <c r="CK181" s="356"/>
      <c r="CP181" s="356"/>
      <c r="CQ181" s="356"/>
      <c r="CR181" s="356"/>
      <c r="CS181" s="356"/>
      <c r="CT181" s="356"/>
      <c r="CU181" s="356"/>
      <c r="CV181" s="356"/>
      <c r="CW181" s="356"/>
      <c r="CX181" s="356"/>
      <c r="CY181" s="356"/>
      <c r="CZ181" s="356"/>
      <c r="DA181" s="356"/>
      <c r="DB181" s="356"/>
      <c r="DC181" s="356"/>
      <c r="DD181" s="356"/>
      <c r="DE181" s="356"/>
      <c r="DF181" s="356"/>
      <c r="DG181" s="356"/>
      <c r="DH181" s="356"/>
      <c r="DI181" s="356"/>
      <c r="DJ181" s="356"/>
      <c r="DK181" s="356"/>
      <c r="DL181" s="356"/>
      <c r="DM181" s="356"/>
      <c r="DN181" s="356"/>
      <c r="DO181" s="356"/>
      <c r="DP181" s="356"/>
      <c r="DQ181" s="356"/>
    </row>
    <row r="182" spans="1:121" hidden="1" outlineLevel="1">
      <c r="A182" s="41"/>
      <c r="B182" s="364"/>
      <c r="C182" s="356"/>
      <c r="D182" s="356"/>
      <c r="E182" s="362"/>
      <c r="F182" s="362"/>
      <c r="G182" s="356"/>
      <c r="H182" s="364"/>
      <c r="I182" s="364"/>
      <c r="J182" s="366"/>
      <c r="K182" s="366"/>
      <c r="L182" s="366"/>
      <c r="M182" s="366"/>
      <c r="N182" s="366"/>
      <c r="O182" s="366"/>
      <c r="P182" s="366"/>
      <c r="Q182" s="366"/>
      <c r="R182" s="369"/>
      <c r="S182" s="369"/>
      <c r="T182" s="366"/>
      <c r="U182" s="427"/>
      <c r="V182" s="427"/>
      <c r="W182" s="372"/>
      <c r="X182" s="373"/>
      <c r="Y182" s="373"/>
      <c r="Z182" s="374"/>
      <c r="AA182" s="374"/>
      <c r="AB182" s="374"/>
      <c r="AC182" s="374"/>
      <c r="AD182" s="369"/>
      <c r="AE182" s="376"/>
      <c r="AF182" s="376"/>
      <c r="AG182" s="376"/>
      <c r="AH182" s="376"/>
      <c r="AI182" s="375"/>
      <c r="AJ182" s="366"/>
      <c r="AK182" s="366"/>
      <c r="AL182" s="366"/>
      <c r="AM182" s="366"/>
      <c r="AN182" s="366"/>
      <c r="AO182" s="366"/>
      <c r="AP182" s="366"/>
      <c r="AQ182" s="366"/>
      <c r="AR182" s="366"/>
      <c r="AS182" s="366"/>
      <c r="AT182" s="366"/>
      <c r="AU182" s="366"/>
      <c r="AV182" s="366"/>
      <c r="AW182" s="366"/>
      <c r="AX182" s="366"/>
      <c r="AY182" s="366"/>
      <c r="AZ182" s="366"/>
      <c r="BA182" s="366"/>
      <c r="BB182" s="366"/>
      <c r="BC182" s="366"/>
      <c r="BD182" s="366"/>
      <c r="BE182" s="366"/>
      <c r="BF182" s="366"/>
      <c r="BG182" s="366"/>
      <c r="BH182" s="366"/>
      <c r="BI182" s="366"/>
      <c r="BJ182" s="366"/>
      <c r="BK182" s="366"/>
      <c r="BL182" s="366"/>
      <c r="BM182" s="366"/>
      <c r="BN182" s="366"/>
      <c r="BO182" s="366"/>
      <c r="BP182" s="366"/>
      <c r="BQ182" s="366"/>
      <c r="BR182" s="366"/>
      <c r="BS182" s="366"/>
      <c r="BT182" s="366"/>
      <c r="BU182" s="366"/>
      <c r="BV182" s="366"/>
      <c r="BW182" s="366"/>
      <c r="BX182" s="366"/>
      <c r="BY182" s="423"/>
      <c r="BZ182" s="423"/>
      <c r="CI182" s="356"/>
      <c r="CJ182" s="356"/>
      <c r="CK182" s="356"/>
      <c r="CP182" s="356"/>
      <c r="CQ182" s="356"/>
      <c r="CR182" s="356"/>
      <c r="CS182" s="356"/>
      <c r="CT182" s="356"/>
      <c r="CU182" s="356"/>
      <c r="CV182" s="356"/>
      <c r="CW182" s="356"/>
      <c r="CX182" s="356"/>
      <c r="CY182" s="356"/>
      <c r="CZ182" s="356"/>
      <c r="DA182" s="356"/>
      <c r="DB182" s="356"/>
      <c r="DC182" s="356"/>
      <c r="DD182" s="356"/>
      <c r="DE182" s="356"/>
      <c r="DF182" s="356"/>
      <c r="DG182" s="356"/>
      <c r="DH182" s="356"/>
      <c r="DI182" s="356"/>
      <c r="DJ182" s="356"/>
      <c r="DK182" s="356"/>
      <c r="DL182" s="356"/>
      <c r="DM182" s="356"/>
      <c r="DN182" s="356"/>
      <c r="DO182" s="356"/>
      <c r="DP182" s="356"/>
      <c r="DQ182" s="356"/>
    </row>
    <row r="183" spans="1:121" hidden="1" outlineLevel="1">
      <c r="A183" s="41"/>
      <c r="B183" s="364"/>
      <c r="C183" s="356"/>
      <c r="D183" s="356"/>
      <c r="E183" s="362"/>
      <c r="F183" s="362"/>
      <c r="G183" s="356"/>
      <c r="H183" s="364"/>
      <c r="I183" s="364"/>
      <c r="J183" s="366"/>
      <c r="K183" s="366"/>
      <c r="L183" s="366"/>
      <c r="M183" s="366"/>
      <c r="N183" s="366"/>
      <c r="O183" s="366"/>
      <c r="P183" s="366"/>
      <c r="Q183" s="366"/>
      <c r="R183" s="369"/>
      <c r="S183" s="369"/>
      <c r="T183" s="366"/>
      <c r="U183" s="427"/>
      <c r="V183" s="427"/>
      <c r="W183" s="372"/>
      <c r="X183" s="373"/>
      <c r="Y183" s="373"/>
      <c r="Z183" s="374"/>
      <c r="AA183" s="374"/>
      <c r="AB183" s="374"/>
      <c r="AC183" s="374"/>
      <c r="AD183" s="369"/>
      <c r="AE183" s="376"/>
      <c r="AF183" s="376"/>
      <c r="AG183" s="376"/>
      <c r="AH183" s="376"/>
      <c r="AI183" s="375"/>
      <c r="AJ183" s="366"/>
      <c r="AK183" s="366"/>
      <c r="AL183" s="366"/>
      <c r="AM183" s="366"/>
      <c r="AN183" s="366"/>
      <c r="AO183" s="366"/>
      <c r="AP183" s="366"/>
      <c r="AQ183" s="366"/>
      <c r="AR183" s="366"/>
      <c r="AS183" s="366"/>
      <c r="AT183" s="366"/>
      <c r="AU183" s="366"/>
      <c r="AV183" s="366"/>
      <c r="AW183" s="366"/>
      <c r="AX183" s="366"/>
      <c r="AY183" s="366"/>
      <c r="AZ183" s="366"/>
      <c r="BA183" s="366"/>
      <c r="BB183" s="366"/>
      <c r="BC183" s="366"/>
      <c r="BD183" s="366"/>
      <c r="BE183" s="366"/>
      <c r="BF183" s="366"/>
      <c r="BG183" s="366"/>
      <c r="BH183" s="366"/>
      <c r="BI183" s="366"/>
      <c r="BJ183" s="366"/>
      <c r="BK183" s="366"/>
      <c r="BL183" s="366"/>
      <c r="BM183" s="366"/>
      <c r="BN183" s="366"/>
      <c r="BO183" s="366"/>
      <c r="BP183" s="366"/>
      <c r="BQ183" s="366"/>
      <c r="BR183" s="366"/>
      <c r="BS183" s="366"/>
      <c r="BT183" s="366"/>
      <c r="BU183" s="366"/>
      <c r="BV183" s="366"/>
      <c r="BW183" s="366"/>
      <c r="BX183" s="366"/>
      <c r="BY183" s="423"/>
      <c r="BZ183" s="423"/>
      <c r="CI183" s="356"/>
      <c r="CJ183" s="356"/>
      <c r="CK183" s="356"/>
      <c r="CP183" s="356"/>
      <c r="CQ183" s="356"/>
      <c r="CR183" s="356"/>
      <c r="CS183" s="356"/>
      <c r="CT183" s="356"/>
      <c r="CU183" s="356"/>
      <c r="CV183" s="356"/>
      <c r="CW183" s="356"/>
      <c r="CX183" s="356"/>
      <c r="CY183" s="356"/>
      <c r="CZ183" s="356"/>
      <c r="DA183" s="356"/>
      <c r="DB183" s="356"/>
      <c r="DC183" s="356"/>
      <c r="DD183" s="356"/>
      <c r="DE183" s="356"/>
      <c r="DF183" s="356"/>
      <c r="DG183" s="356"/>
      <c r="DH183" s="356"/>
      <c r="DI183" s="356"/>
      <c r="DJ183" s="356"/>
      <c r="DK183" s="356"/>
      <c r="DL183" s="356"/>
      <c r="DM183" s="356"/>
      <c r="DN183" s="356"/>
      <c r="DO183" s="356"/>
      <c r="DP183" s="356"/>
      <c r="DQ183" s="356"/>
    </row>
    <row r="184" spans="1:121" hidden="1" outlineLevel="1">
      <c r="A184" s="41"/>
      <c r="B184" s="364"/>
      <c r="C184" s="356"/>
      <c r="D184" s="356"/>
      <c r="E184" s="362"/>
      <c r="F184" s="362"/>
      <c r="G184" s="356"/>
      <c r="H184" s="364"/>
      <c r="I184" s="364"/>
      <c r="J184" s="366"/>
      <c r="K184" s="366"/>
      <c r="L184" s="366"/>
      <c r="M184" s="366"/>
      <c r="N184" s="366"/>
      <c r="O184" s="366"/>
      <c r="P184" s="366"/>
      <c r="Q184" s="366"/>
      <c r="R184" s="369"/>
      <c r="S184" s="369"/>
      <c r="T184" s="366"/>
      <c r="U184" s="427"/>
      <c r="V184" s="427"/>
      <c r="W184" s="372"/>
      <c r="X184" s="373"/>
      <c r="Y184" s="373"/>
      <c r="Z184" s="374"/>
      <c r="AA184" s="374"/>
      <c r="AB184" s="374"/>
      <c r="AC184" s="374"/>
      <c r="AD184" s="369"/>
      <c r="AE184" s="376"/>
      <c r="AF184" s="376"/>
      <c r="AG184" s="376"/>
      <c r="AH184" s="376"/>
      <c r="AI184" s="375"/>
      <c r="AJ184" s="366"/>
      <c r="AK184" s="366"/>
      <c r="AL184" s="366"/>
      <c r="AM184" s="366"/>
      <c r="AN184" s="366"/>
      <c r="AO184" s="366"/>
      <c r="AP184" s="366"/>
      <c r="AQ184" s="366"/>
      <c r="AR184" s="366"/>
      <c r="AS184" s="366"/>
      <c r="AT184" s="366"/>
      <c r="AU184" s="366"/>
      <c r="AV184" s="366"/>
      <c r="AW184" s="366"/>
      <c r="AX184" s="366"/>
      <c r="AY184" s="366"/>
      <c r="AZ184" s="366"/>
      <c r="BA184" s="366"/>
      <c r="BB184" s="366"/>
      <c r="BC184" s="366"/>
      <c r="BD184" s="366"/>
      <c r="BE184" s="366"/>
      <c r="BF184" s="366"/>
      <c r="BG184" s="366"/>
      <c r="BH184" s="366"/>
      <c r="BI184" s="366"/>
      <c r="BJ184" s="366"/>
      <c r="BK184" s="366"/>
      <c r="BL184" s="366"/>
      <c r="BM184" s="366"/>
      <c r="BN184" s="366"/>
      <c r="BO184" s="366"/>
      <c r="BP184" s="366"/>
      <c r="BQ184" s="366"/>
      <c r="BR184" s="366"/>
      <c r="BS184" s="366"/>
      <c r="BT184" s="366"/>
      <c r="BU184" s="366"/>
      <c r="BV184" s="366"/>
      <c r="BW184" s="366"/>
      <c r="BX184" s="366"/>
      <c r="BY184" s="423"/>
      <c r="BZ184" s="423"/>
      <c r="CI184" s="356"/>
      <c r="CJ184" s="356"/>
      <c r="CK184" s="356"/>
      <c r="CP184" s="356"/>
      <c r="CQ184" s="356"/>
      <c r="CR184" s="356"/>
      <c r="CS184" s="356"/>
      <c r="CT184" s="356"/>
      <c r="CU184" s="356"/>
      <c r="CV184" s="356"/>
      <c r="CW184" s="356"/>
      <c r="CX184" s="356"/>
      <c r="CY184" s="356"/>
      <c r="CZ184" s="356"/>
      <c r="DA184" s="356"/>
      <c r="DB184" s="356"/>
      <c r="DC184" s="356"/>
      <c r="DD184" s="356"/>
      <c r="DE184" s="356"/>
      <c r="DF184" s="356"/>
      <c r="DG184" s="356"/>
      <c r="DH184" s="356"/>
      <c r="DI184" s="356"/>
      <c r="DJ184" s="356"/>
      <c r="DK184" s="356"/>
      <c r="DL184" s="356"/>
      <c r="DM184" s="356"/>
      <c r="DN184" s="356"/>
      <c r="DO184" s="356"/>
      <c r="DP184" s="356"/>
      <c r="DQ184" s="356"/>
    </row>
    <row r="185" spans="1:121" hidden="1" outlineLevel="1">
      <c r="A185" s="41"/>
      <c r="B185" s="364"/>
      <c r="C185" s="356"/>
      <c r="D185" s="356"/>
      <c r="E185" s="362"/>
      <c r="F185" s="362"/>
      <c r="G185" s="356"/>
      <c r="H185" s="364"/>
      <c r="I185" s="364"/>
      <c r="J185" s="366"/>
      <c r="K185" s="366"/>
      <c r="L185" s="366"/>
      <c r="M185" s="366"/>
      <c r="N185" s="366"/>
      <c r="O185" s="366"/>
      <c r="P185" s="366"/>
      <c r="Q185" s="366"/>
      <c r="R185" s="369"/>
      <c r="S185" s="369"/>
      <c r="T185" s="366"/>
      <c r="U185" s="427"/>
      <c r="V185" s="427"/>
      <c r="W185" s="372"/>
      <c r="X185" s="373"/>
      <c r="Y185" s="373"/>
      <c r="Z185" s="374"/>
      <c r="AA185" s="374"/>
      <c r="AB185" s="374"/>
      <c r="AC185" s="374"/>
      <c r="AD185" s="369"/>
      <c r="AE185" s="376"/>
      <c r="AF185" s="376"/>
      <c r="AG185" s="376"/>
      <c r="AH185" s="376"/>
      <c r="AI185" s="375"/>
      <c r="AJ185" s="366"/>
      <c r="AK185" s="366"/>
      <c r="AL185" s="366"/>
      <c r="AM185" s="366"/>
      <c r="AN185" s="366"/>
      <c r="AO185" s="366"/>
      <c r="AP185" s="366"/>
      <c r="AQ185" s="366"/>
      <c r="AR185" s="366"/>
      <c r="AS185" s="366"/>
      <c r="AT185" s="366"/>
      <c r="AU185" s="366"/>
      <c r="AV185" s="366"/>
      <c r="AW185" s="366"/>
      <c r="AX185" s="366"/>
      <c r="AY185" s="366"/>
      <c r="AZ185" s="366"/>
      <c r="BA185" s="366"/>
      <c r="BB185" s="366"/>
      <c r="BC185" s="366"/>
      <c r="BD185" s="366"/>
      <c r="BE185" s="366"/>
      <c r="BF185" s="366"/>
      <c r="BG185" s="366"/>
      <c r="BH185" s="366"/>
      <c r="BI185" s="366"/>
      <c r="BJ185" s="366"/>
      <c r="BK185" s="366"/>
      <c r="BL185" s="366"/>
      <c r="BM185" s="366"/>
      <c r="BN185" s="366"/>
      <c r="BO185" s="366"/>
      <c r="BP185" s="366"/>
      <c r="BQ185" s="366"/>
      <c r="BR185" s="366"/>
      <c r="BS185" s="366"/>
      <c r="BT185" s="366"/>
      <c r="BU185" s="366"/>
      <c r="BV185" s="366"/>
      <c r="BW185" s="366"/>
      <c r="BX185" s="366"/>
      <c r="BY185" s="423"/>
      <c r="BZ185" s="423"/>
      <c r="CI185" s="356"/>
      <c r="CJ185" s="356"/>
      <c r="CK185" s="356"/>
      <c r="CP185" s="356"/>
      <c r="CQ185" s="356"/>
      <c r="CR185" s="356"/>
      <c r="CS185" s="356"/>
      <c r="CT185" s="356"/>
      <c r="CU185" s="356"/>
      <c r="CV185" s="356"/>
      <c r="CW185" s="356"/>
      <c r="CX185" s="356"/>
      <c r="CY185" s="356"/>
      <c r="CZ185" s="356"/>
      <c r="DA185" s="356"/>
      <c r="DB185" s="356"/>
      <c r="DC185" s="356"/>
      <c r="DD185" s="356"/>
      <c r="DE185" s="356"/>
      <c r="DF185" s="356"/>
      <c r="DG185" s="356"/>
      <c r="DH185" s="356"/>
      <c r="DI185" s="356"/>
      <c r="DJ185" s="356"/>
      <c r="DK185" s="356"/>
      <c r="DL185" s="356"/>
      <c r="DM185" s="356"/>
      <c r="DN185" s="356"/>
      <c r="DO185" s="356"/>
      <c r="DP185" s="356"/>
      <c r="DQ185" s="356"/>
    </row>
    <row r="186" spans="1:121" hidden="1" outlineLevel="1">
      <c r="A186" s="41"/>
      <c r="B186" s="364"/>
      <c r="C186" s="356"/>
      <c r="D186" s="356"/>
      <c r="E186" s="362"/>
      <c r="F186" s="362"/>
      <c r="G186" s="356"/>
      <c r="H186" s="364"/>
      <c r="I186" s="364"/>
      <c r="J186" s="366"/>
      <c r="K186" s="366"/>
      <c r="L186" s="366"/>
      <c r="M186" s="366"/>
      <c r="N186" s="366"/>
      <c r="O186" s="366"/>
      <c r="P186" s="366"/>
      <c r="Q186" s="366"/>
      <c r="R186" s="369"/>
      <c r="S186" s="369"/>
      <c r="T186" s="366"/>
      <c r="U186" s="427"/>
      <c r="V186" s="427"/>
      <c r="W186" s="372"/>
      <c r="X186" s="373"/>
      <c r="Y186" s="373"/>
      <c r="Z186" s="374"/>
      <c r="AA186" s="374"/>
      <c r="AB186" s="374"/>
      <c r="AC186" s="374"/>
      <c r="AD186" s="369"/>
      <c r="AE186" s="376"/>
      <c r="AF186" s="376"/>
      <c r="AG186" s="376"/>
      <c r="AH186" s="376"/>
      <c r="AI186" s="375"/>
      <c r="AJ186" s="366"/>
      <c r="AK186" s="366"/>
      <c r="AL186" s="366"/>
      <c r="AM186" s="366"/>
      <c r="AN186" s="366"/>
      <c r="AO186" s="366"/>
      <c r="AP186" s="366"/>
      <c r="AQ186" s="366"/>
      <c r="AR186" s="366"/>
      <c r="AS186" s="366"/>
      <c r="AT186" s="366"/>
      <c r="AU186" s="366"/>
      <c r="AV186" s="366"/>
      <c r="AW186" s="366"/>
      <c r="AX186" s="366"/>
      <c r="AY186" s="366"/>
      <c r="AZ186" s="366"/>
      <c r="BA186" s="366"/>
      <c r="BB186" s="366"/>
      <c r="BC186" s="366"/>
      <c r="BD186" s="366"/>
      <c r="BE186" s="366"/>
      <c r="BF186" s="366"/>
      <c r="BG186" s="366"/>
      <c r="BH186" s="366"/>
      <c r="BI186" s="366"/>
      <c r="BJ186" s="366"/>
      <c r="BK186" s="366"/>
      <c r="BL186" s="366"/>
      <c r="BM186" s="366"/>
      <c r="BN186" s="366"/>
      <c r="BO186" s="366"/>
      <c r="BP186" s="366"/>
      <c r="BQ186" s="366"/>
      <c r="BR186" s="366"/>
      <c r="BS186" s="366"/>
      <c r="BT186" s="366"/>
      <c r="BU186" s="366"/>
      <c r="BV186" s="366"/>
      <c r="BW186" s="366"/>
      <c r="BX186" s="366"/>
      <c r="BY186" s="423"/>
      <c r="BZ186" s="423"/>
      <c r="CI186" s="356"/>
      <c r="CJ186" s="356"/>
      <c r="CK186" s="356"/>
      <c r="CP186" s="356"/>
      <c r="CQ186" s="356"/>
      <c r="CR186" s="356"/>
      <c r="CS186" s="356"/>
      <c r="CT186" s="356"/>
      <c r="CU186" s="356"/>
      <c r="CV186" s="356"/>
      <c r="CW186" s="356"/>
      <c r="CX186" s="356"/>
      <c r="CY186" s="356"/>
      <c r="CZ186" s="356"/>
      <c r="DA186" s="356"/>
      <c r="DB186" s="356"/>
      <c r="DC186" s="356"/>
      <c r="DD186" s="356"/>
      <c r="DE186" s="356"/>
      <c r="DF186" s="356"/>
      <c r="DG186" s="356"/>
      <c r="DH186" s="356"/>
      <c r="DI186" s="356"/>
      <c r="DJ186" s="356"/>
      <c r="DK186" s="356"/>
      <c r="DL186" s="356"/>
      <c r="DM186" s="356"/>
      <c r="DN186" s="356"/>
      <c r="DO186" s="356"/>
      <c r="DP186" s="356"/>
      <c r="DQ186" s="356"/>
    </row>
    <row r="187" spans="1:121" hidden="1" outlineLevel="1">
      <c r="A187" s="41"/>
      <c r="B187" s="364"/>
      <c r="C187" s="356"/>
      <c r="D187" s="356"/>
      <c r="E187" s="362"/>
      <c r="F187" s="362"/>
      <c r="G187" s="356"/>
      <c r="H187" s="364"/>
      <c r="I187" s="364"/>
      <c r="J187" s="366"/>
      <c r="K187" s="366"/>
      <c r="L187" s="366"/>
      <c r="M187" s="366"/>
      <c r="N187" s="366"/>
      <c r="O187" s="366"/>
      <c r="P187" s="366"/>
      <c r="Q187" s="366"/>
      <c r="R187" s="369"/>
      <c r="S187" s="369"/>
      <c r="T187" s="366"/>
      <c r="U187" s="427"/>
      <c r="V187" s="427"/>
      <c r="W187" s="372"/>
      <c r="X187" s="373"/>
      <c r="Y187" s="373"/>
      <c r="Z187" s="374"/>
      <c r="AA187" s="374"/>
      <c r="AB187" s="374"/>
      <c r="AC187" s="374"/>
      <c r="AD187" s="369"/>
      <c r="AE187" s="376"/>
      <c r="AF187" s="376"/>
      <c r="AG187" s="376"/>
      <c r="AH187" s="376"/>
      <c r="AI187" s="375"/>
      <c r="AJ187" s="366"/>
      <c r="AK187" s="366"/>
      <c r="AL187" s="366"/>
      <c r="AM187" s="366"/>
      <c r="AN187" s="366"/>
      <c r="AO187" s="366"/>
      <c r="AP187" s="366"/>
      <c r="AQ187" s="366"/>
      <c r="AR187" s="366"/>
      <c r="AS187" s="366"/>
      <c r="AT187" s="366"/>
      <c r="AU187" s="366"/>
      <c r="AV187" s="366"/>
      <c r="AW187" s="366"/>
      <c r="AX187" s="366"/>
      <c r="AY187" s="366"/>
      <c r="AZ187" s="366"/>
      <c r="BA187" s="366"/>
      <c r="BB187" s="366"/>
      <c r="BC187" s="366"/>
      <c r="BD187" s="366"/>
      <c r="BE187" s="366"/>
      <c r="BF187" s="366"/>
      <c r="BG187" s="366"/>
      <c r="BH187" s="366"/>
      <c r="BI187" s="366"/>
      <c r="BJ187" s="366"/>
      <c r="BK187" s="366"/>
      <c r="BL187" s="366"/>
      <c r="BM187" s="366"/>
      <c r="BN187" s="366"/>
      <c r="BO187" s="366"/>
      <c r="BP187" s="366"/>
      <c r="BQ187" s="366"/>
      <c r="BR187" s="366"/>
      <c r="BS187" s="366"/>
      <c r="BT187" s="366"/>
      <c r="BU187" s="366"/>
      <c r="BV187" s="366"/>
      <c r="BW187" s="366"/>
      <c r="BX187" s="366"/>
      <c r="BY187" s="423"/>
      <c r="BZ187" s="423"/>
      <c r="CI187" s="356"/>
      <c r="CJ187" s="356"/>
      <c r="CK187" s="356"/>
      <c r="CP187" s="356"/>
      <c r="CQ187" s="356"/>
      <c r="CR187" s="356"/>
      <c r="CS187" s="356"/>
      <c r="CT187" s="356"/>
      <c r="CU187" s="356"/>
      <c r="CV187" s="356"/>
      <c r="CW187" s="356"/>
      <c r="CX187" s="356"/>
      <c r="CY187" s="356"/>
      <c r="CZ187" s="356"/>
      <c r="DA187" s="356"/>
      <c r="DB187" s="356"/>
      <c r="DC187" s="356"/>
      <c r="DD187" s="356"/>
      <c r="DE187" s="356"/>
      <c r="DF187" s="356"/>
      <c r="DG187" s="356"/>
      <c r="DH187" s="356"/>
      <c r="DI187" s="356"/>
      <c r="DJ187" s="356"/>
      <c r="DK187" s="356"/>
      <c r="DL187" s="356"/>
      <c r="DM187" s="356"/>
      <c r="DN187" s="356"/>
      <c r="DO187" s="356"/>
      <c r="DP187" s="356"/>
      <c r="DQ187" s="356"/>
    </row>
    <row r="188" spans="1:121" hidden="1" outlineLevel="1">
      <c r="A188" s="41"/>
      <c r="B188" s="364"/>
      <c r="C188" s="356"/>
      <c r="D188" s="356"/>
      <c r="E188" s="362"/>
      <c r="F188" s="362"/>
      <c r="G188" s="356"/>
      <c r="H188" s="364"/>
      <c r="I188" s="364"/>
      <c r="J188" s="366"/>
      <c r="K188" s="366"/>
      <c r="L188" s="366"/>
      <c r="M188" s="366"/>
      <c r="N188" s="366"/>
      <c r="O188" s="366"/>
      <c r="P188" s="366"/>
      <c r="Q188" s="366"/>
      <c r="R188" s="369"/>
      <c r="S188" s="369"/>
      <c r="T188" s="366"/>
      <c r="U188" s="427"/>
      <c r="V188" s="427"/>
      <c r="W188" s="372"/>
      <c r="X188" s="373"/>
      <c r="Y188" s="373"/>
      <c r="Z188" s="374"/>
      <c r="AA188" s="374"/>
      <c r="AB188" s="374"/>
      <c r="AC188" s="374"/>
      <c r="AD188" s="369"/>
      <c r="AE188" s="376"/>
      <c r="AF188" s="376"/>
      <c r="AG188" s="376"/>
      <c r="AH188" s="376"/>
      <c r="AI188" s="375"/>
      <c r="AJ188" s="366"/>
      <c r="AK188" s="366"/>
      <c r="AL188" s="366"/>
      <c r="AM188" s="366"/>
      <c r="AN188" s="366"/>
      <c r="AO188" s="366"/>
      <c r="AP188" s="366"/>
      <c r="AQ188" s="366"/>
      <c r="AR188" s="366"/>
      <c r="AS188" s="366"/>
      <c r="AT188" s="366"/>
      <c r="AU188" s="366"/>
      <c r="AV188" s="366"/>
      <c r="AW188" s="366"/>
      <c r="AX188" s="366"/>
      <c r="AY188" s="366"/>
      <c r="AZ188" s="366"/>
      <c r="BA188" s="366"/>
      <c r="BB188" s="366"/>
      <c r="BC188" s="366"/>
      <c r="BD188" s="366"/>
      <c r="BE188" s="366"/>
      <c r="BF188" s="366"/>
      <c r="BG188" s="366"/>
      <c r="BH188" s="366"/>
      <c r="BI188" s="366"/>
      <c r="BJ188" s="366"/>
      <c r="BK188" s="366"/>
      <c r="BL188" s="366"/>
      <c r="BM188" s="366"/>
      <c r="BN188" s="366"/>
      <c r="BO188" s="366"/>
      <c r="BP188" s="366"/>
      <c r="BQ188" s="366"/>
      <c r="BR188" s="366"/>
      <c r="BS188" s="366"/>
      <c r="BT188" s="366"/>
      <c r="BU188" s="366"/>
      <c r="BV188" s="366"/>
      <c r="BW188" s="366"/>
      <c r="BX188" s="366"/>
      <c r="BY188" s="423"/>
      <c r="BZ188" s="423"/>
      <c r="CI188" s="356"/>
      <c r="CJ188" s="356"/>
      <c r="CK188" s="356"/>
      <c r="CP188" s="356"/>
      <c r="CQ188" s="356"/>
      <c r="CR188" s="356"/>
      <c r="CS188" s="356"/>
      <c r="CT188" s="356"/>
      <c r="CU188" s="356"/>
      <c r="CV188" s="356"/>
      <c r="CW188" s="356"/>
      <c r="CX188" s="356"/>
      <c r="CY188" s="356"/>
      <c r="CZ188" s="356"/>
      <c r="DA188" s="356"/>
      <c r="DB188" s="356"/>
      <c r="DC188" s="356"/>
      <c r="DD188" s="356"/>
      <c r="DE188" s="356"/>
      <c r="DF188" s="356"/>
      <c r="DG188" s="356"/>
      <c r="DH188" s="356"/>
      <c r="DI188" s="356"/>
      <c r="DJ188" s="356"/>
      <c r="DK188" s="356"/>
      <c r="DL188" s="356"/>
      <c r="DM188" s="356"/>
      <c r="DN188" s="356"/>
      <c r="DO188" s="356"/>
      <c r="DP188" s="356"/>
      <c r="DQ188" s="356"/>
    </row>
    <row r="189" spans="1:121" hidden="1" outlineLevel="1">
      <c r="A189" s="41"/>
      <c r="B189" s="364"/>
      <c r="C189" s="356"/>
      <c r="D189" s="356"/>
      <c r="E189" s="362"/>
      <c r="F189" s="362"/>
      <c r="G189" s="356"/>
      <c r="H189" s="364"/>
      <c r="I189" s="364"/>
      <c r="J189" s="366"/>
      <c r="K189" s="366"/>
      <c r="L189" s="366"/>
      <c r="M189" s="366"/>
      <c r="N189" s="366"/>
      <c r="O189" s="366"/>
      <c r="P189" s="366"/>
      <c r="Q189" s="366"/>
      <c r="R189" s="369"/>
      <c r="S189" s="369"/>
      <c r="T189" s="366"/>
      <c r="U189" s="427"/>
      <c r="V189" s="427"/>
      <c r="W189" s="372"/>
      <c r="X189" s="373"/>
      <c r="Y189" s="373"/>
      <c r="Z189" s="374"/>
      <c r="AA189" s="374"/>
      <c r="AB189" s="374"/>
      <c r="AC189" s="374"/>
      <c r="AD189" s="369"/>
      <c r="AE189" s="376"/>
      <c r="AF189" s="376"/>
      <c r="AG189" s="376"/>
      <c r="AH189" s="376"/>
      <c r="AI189" s="375"/>
      <c r="AJ189" s="366"/>
      <c r="AK189" s="366"/>
      <c r="AL189" s="366"/>
      <c r="AM189" s="366"/>
      <c r="AN189" s="366"/>
      <c r="AO189" s="366"/>
      <c r="AP189" s="366"/>
      <c r="AQ189" s="366"/>
      <c r="AR189" s="366"/>
      <c r="AS189" s="366"/>
      <c r="AT189" s="366"/>
      <c r="AU189" s="366"/>
      <c r="AV189" s="366"/>
      <c r="AW189" s="366"/>
      <c r="AX189" s="366"/>
      <c r="AY189" s="366"/>
      <c r="AZ189" s="366"/>
      <c r="BA189" s="366"/>
      <c r="BB189" s="366"/>
      <c r="BC189" s="366"/>
      <c r="BD189" s="366"/>
      <c r="BE189" s="366"/>
      <c r="BF189" s="366"/>
      <c r="BG189" s="366"/>
      <c r="BH189" s="366"/>
      <c r="BI189" s="366"/>
      <c r="BJ189" s="366"/>
      <c r="BK189" s="366"/>
      <c r="BL189" s="366"/>
      <c r="BM189" s="366"/>
      <c r="BN189" s="366"/>
      <c r="BO189" s="366"/>
      <c r="BP189" s="366"/>
      <c r="BQ189" s="366"/>
      <c r="BR189" s="366"/>
      <c r="BS189" s="366"/>
      <c r="BT189" s="366"/>
      <c r="BU189" s="366"/>
      <c r="BV189" s="366"/>
      <c r="BW189" s="366"/>
      <c r="BX189" s="366"/>
      <c r="BY189" s="423"/>
      <c r="BZ189" s="423"/>
      <c r="CI189" s="356"/>
      <c r="CJ189" s="356"/>
      <c r="CK189" s="356"/>
      <c r="CP189" s="356"/>
      <c r="CQ189" s="356"/>
      <c r="CR189" s="356"/>
      <c r="CS189" s="356"/>
      <c r="CT189" s="356"/>
      <c r="CU189" s="356"/>
      <c r="CV189" s="356"/>
      <c r="CW189" s="356"/>
      <c r="CX189" s="356"/>
      <c r="CY189" s="356"/>
      <c r="CZ189" s="356"/>
      <c r="DA189" s="356"/>
      <c r="DB189" s="356"/>
      <c r="DC189" s="356"/>
      <c r="DD189" s="356"/>
      <c r="DE189" s="356"/>
      <c r="DF189" s="356"/>
      <c r="DG189" s="356"/>
      <c r="DH189" s="356"/>
      <c r="DI189" s="356"/>
      <c r="DJ189" s="356"/>
      <c r="DK189" s="356"/>
      <c r="DL189" s="356"/>
      <c r="DM189" s="356"/>
      <c r="DN189" s="356"/>
      <c r="DO189" s="356"/>
      <c r="DP189" s="356"/>
      <c r="DQ189" s="356"/>
    </row>
    <row r="190" spans="1:121" hidden="1" outlineLevel="1">
      <c r="A190" s="41"/>
      <c r="B190" s="364"/>
      <c r="C190" s="356"/>
      <c r="D190" s="356"/>
      <c r="E190" s="362"/>
      <c r="F190" s="362"/>
      <c r="G190" s="356"/>
      <c r="H190" s="364"/>
      <c r="I190" s="364"/>
      <c r="J190" s="366"/>
      <c r="K190" s="366"/>
      <c r="L190" s="366"/>
      <c r="M190" s="366"/>
      <c r="N190" s="366"/>
      <c r="O190" s="366"/>
      <c r="P190" s="366"/>
      <c r="Q190" s="366"/>
      <c r="R190" s="369"/>
      <c r="S190" s="369"/>
      <c r="T190" s="366"/>
      <c r="U190" s="427"/>
      <c r="V190" s="427"/>
      <c r="W190" s="372"/>
      <c r="X190" s="373"/>
      <c r="Y190" s="373"/>
      <c r="Z190" s="374"/>
      <c r="AA190" s="374"/>
      <c r="AB190" s="374"/>
      <c r="AC190" s="374"/>
      <c r="AD190" s="369"/>
      <c r="AE190" s="376"/>
      <c r="AF190" s="376"/>
      <c r="AG190" s="376"/>
      <c r="AH190" s="376"/>
      <c r="AI190" s="375"/>
      <c r="AJ190" s="366"/>
      <c r="AK190" s="366"/>
      <c r="AL190" s="366"/>
      <c r="AM190" s="366"/>
      <c r="AN190" s="366"/>
      <c r="AO190" s="366"/>
      <c r="AP190" s="366"/>
      <c r="AQ190" s="366"/>
      <c r="AR190" s="366"/>
      <c r="AS190" s="366"/>
      <c r="AT190" s="366"/>
      <c r="AU190" s="366"/>
      <c r="AV190" s="366"/>
      <c r="AW190" s="366"/>
      <c r="AX190" s="366"/>
      <c r="AY190" s="366"/>
      <c r="AZ190" s="366"/>
      <c r="BA190" s="366"/>
      <c r="BB190" s="366"/>
      <c r="BC190" s="366"/>
      <c r="BD190" s="366"/>
      <c r="BE190" s="366"/>
      <c r="BF190" s="366"/>
      <c r="BG190" s="366"/>
      <c r="BH190" s="366"/>
      <c r="BI190" s="366"/>
      <c r="BJ190" s="366"/>
      <c r="BK190" s="366"/>
      <c r="BL190" s="366"/>
      <c r="BM190" s="366"/>
      <c r="BN190" s="366"/>
      <c r="BO190" s="366"/>
      <c r="BP190" s="366"/>
      <c r="BQ190" s="366"/>
      <c r="BR190" s="366"/>
      <c r="BS190" s="366"/>
      <c r="BT190" s="366"/>
      <c r="BU190" s="366"/>
      <c r="BV190" s="366"/>
      <c r="BW190" s="366"/>
      <c r="BX190" s="366"/>
      <c r="BY190" s="423"/>
      <c r="BZ190" s="423"/>
      <c r="CI190" s="356"/>
      <c r="CJ190" s="356"/>
      <c r="CK190" s="356"/>
      <c r="CP190" s="356"/>
      <c r="CQ190" s="356"/>
      <c r="CR190" s="356"/>
      <c r="CS190" s="356"/>
      <c r="CT190" s="356"/>
      <c r="CU190" s="356"/>
      <c r="CV190" s="356"/>
      <c r="CW190" s="356"/>
      <c r="CX190" s="356"/>
      <c r="CY190" s="356"/>
      <c r="CZ190" s="356"/>
      <c r="DA190" s="356"/>
      <c r="DB190" s="356"/>
      <c r="DC190" s="356"/>
      <c r="DD190" s="356"/>
      <c r="DE190" s="356"/>
      <c r="DF190" s="356"/>
      <c r="DG190" s="356"/>
      <c r="DH190" s="356"/>
      <c r="DI190" s="356"/>
      <c r="DJ190" s="356"/>
      <c r="DK190" s="356"/>
      <c r="DL190" s="356"/>
      <c r="DM190" s="356"/>
      <c r="DN190" s="356"/>
      <c r="DO190" s="356"/>
      <c r="DP190" s="356"/>
      <c r="DQ190" s="356"/>
    </row>
    <row r="191" spans="1:121" hidden="1" outlineLevel="1">
      <c r="A191" s="41"/>
      <c r="B191" s="364"/>
      <c r="C191" s="356"/>
      <c r="D191" s="356"/>
      <c r="E191" s="362"/>
      <c r="F191" s="362"/>
      <c r="G191" s="356"/>
      <c r="H191" s="364"/>
      <c r="I191" s="364"/>
      <c r="J191" s="366"/>
      <c r="K191" s="366"/>
      <c r="L191" s="366"/>
      <c r="M191" s="366"/>
      <c r="N191" s="366"/>
      <c r="O191" s="366"/>
      <c r="P191" s="366"/>
      <c r="Q191" s="366"/>
      <c r="R191" s="369"/>
      <c r="S191" s="369"/>
      <c r="T191" s="366"/>
      <c r="U191" s="427"/>
      <c r="V191" s="427"/>
      <c r="W191" s="372"/>
      <c r="X191" s="373"/>
      <c r="Y191" s="373"/>
      <c r="Z191" s="374"/>
      <c r="AA191" s="374"/>
      <c r="AB191" s="374"/>
      <c r="AC191" s="374"/>
      <c r="AD191" s="369"/>
      <c r="AE191" s="376"/>
      <c r="AF191" s="376"/>
      <c r="AG191" s="376"/>
      <c r="AH191" s="376"/>
      <c r="AI191" s="375"/>
      <c r="AJ191" s="366"/>
      <c r="AK191" s="366"/>
      <c r="AL191" s="366"/>
      <c r="AM191" s="366"/>
      <c r="AN191" s="366"/>
      <c r="AO191" s="366"/>
      <c r="AP191" s="366"/>
      <c r="AQ191" s="366"/>
      <c r="AR191" s="366"/>
      <c r="AS191" s="366"/>
      <c r="AT191" s="366"/>
      <c r="AU191" s="366"/>
      <c r="AV191" s="366"/>
      <c r="AW191" s="366"/>
      <c r="AX191" s="366"/>
      <c r="AY191" s="366"/>
      <c r="AZ191" s="366"/>
      <c r="BA191" s="366"/>
      <c r="BB191" s="366"/>
      <c r="BC191" s="366"/>
      <c r="BD191" s="366"/>
      <c r="BE191" s="366"/>
      <c r="BF191" s="366"/>
      <c r="BG191" s="366"/>
      <c r="BH191" s="366"/>
      <c r="BI191" s="366"/>
      <c r="BJ191" s="366"/>
      <c r="BK191" s="366"/>
      <c r="BL191" s="366"/>
      <c r="BM191" s="366"/>
      <c r="BN191" s="366"/>
      <c r="BO191" s="366"/>
      <c r="BP191" s="366"/>
      <c r="BQ191" s="366"/>
      <c r="BR191" s="366"/>
      <c r="BS191" s="366"/>
      <c r="BT191" s="366"/>
      <c r="BU191" s="366"/>
      <c r="BV191" s="366"/>
      <c r="BW191" s="366"/>
      <c r="BX191" s="366"/>
      <c r="BY191" s="423"/>
      <c r="BZ191" s="423"/>
      <c r="CI191" s="356"/>
      <c r="CJ191" s="356"/>
      <c r="CK191" s="356"/>
      <c r="CP191" s="356"/>
      <c r="CQ191" s="356"/>
      <c r="CR191" s="356"/>
      <c r="CS191" s="356"/>
      <c r="CT191" s="356"/>
      <c r="CU191" s="356"/>
      <c r="CV191" s="356"/>
      <c r="CW191" s="356"/>
      <c r="CX191" s="356"/>
      <c r="CY191" s="356"/>
      <c r="CZ191" s="356"/>
      <c r="DA191" s="356"/>
      <c r="DB191" s="356"/>
      <c r="DC191" s="356"/>
      <c r="DD191" s="356"/>
      <c r="DE191" s="356"/>
      <c r="DF191" s="356"/>
      <c r="DG191" s="356"/>
      <c r="DH191" s="356"/>
      <c r="DI191" s="356"/>
      <c r="DJ191" s="356"/>
      <c r="DK191" s="356"/>
      <c r="DL191" s="356"/>
      <c r="DM191" s="356"/>
      <c r="DN191" s="356"/>
      <c r="DO191" s="356"/>
      <c r="DP191" s="356"/>
      <c r="DQ191" s="356"/>
    </row>
    <row r="192" spans="1:121" hidden="1" outlineLevel="1">
      <c r="A192" s="41"/>
      <c r="B192" s="364"/>
      <c r="C192" s="356"/>
      <c r="D192" s="356"/>
      <c r="E192" s="362"/>
      <c r="F192" s="362"/>
      <c r="G192" s="356"/>
      <c r="H192" s="364"/>
      <c r="I192" s="364"/>
      <c r="J192" s="366"/>
      <c r="K192" s="366"/>
      <c r="L192" s="366"/>
      <c r="M192" s="366"/>
      <c r="N192" s="366"/>
      <c r="O192" s="366"/>
      <c r="P192" s="366"/>
      <c r="Q192" s="366"/>
      <c r="R192" s="369"/>
      <c r="S192" s="369"/>
      <c r="T192" s="366"/>
      <c r="U192" s="427"/>
      <c r="V192" s="427"/>
      <c r="W192" s="372"/>
      <c r="X192" s="373"/>
      <c r="Y192" s="373"/>
      <c r="Z192" s="374"/>
      <c r="AA192" s="374"/>
      <c r="AB192" s="374"/>
      <c r="AC192" s="374"/>
      <c r="AD192" s="369"/>
      <c r="AE192" s="376"/>
      <c r="AF192" s="376"/>
      <c r="AG192" s="376"/>
      <c r="AH192" s="376"/>
      <c r="AI192" s="375"/>
      <c r="AJ192" s="366"/>
      <c r="AK192" s="366"/>
      <c r="AL192" s="366"/>
      <c r="AM192" s="366"/>
      <c r="AN192" s="366"/>
      <c r="AO192" s="366"/>
      <c r="AP192" s="366"/>
      <c r="AQ192" s="366"/>
      <c r="AR192" s="366"/>
      <c r="AS192" s="366"/>
      <c r="AT192" s="366"/>
      <c r="AU192" s="366"/>
      <c r="AV192" s="366"/>
      <c r="AW192" s="366"/>
      <c r="AX192" s="366"/>
      <c r="AY192" s="366"/>
      <c r="AZ192" s="366"/>
      <c r="BA192" s="366"/>
      <c r="BB192" s="366"/>
      <c r="BC192" s="366"/>
      <c r="BD192" s="366"/>
      <c r="BE192" s="366"/>
      <c r="BF192" s="366"/>
      <c r="BG192" s="366"/>
      <c r="BH192" s="366"/>
      <c r="BI192" s="366"/>
      <c r="BJ192" s="366"/>
      <c r="BK192" s="366"/>
      <c r="BL192" s="366"/>
      <c r="BM192" s="366"/>
      <c r="BN192" s="366"/>
      <c r="BO192" s="366"/>
      <c r="BP192" s="366"/>
      <c r="BQ192" s="366"/>
      <c r="BR192" s="366"/>
      <c r="BS192" s="366"/>
      <c r="BT192" s="366"/>
      <c r="BU192" s="366"/>
      <c r="BV192" s="366"/>
      <c r="BW192" s="366"/>
      <c r="BX192" s="366"/>
      <c r="BY192" s="423"/>
      <c r="BZ192" s="423"/>
      <c r="CI192" s="356"/>
      <c r="CJ192" s="356"/>
      <c r="CK192" s="356"/>
      <c r="CP192" s="356"/>
      <c r="CQ192" s="356"/>
      <c r="CR192" s="356"/>
      <c r="CS192" s="356"/>
      <c r="CT192" s="356"/>
      <c r="CU192" s="356"/>
      <c r="CV192" s="356"/>
      <c r="CW192" s="356"/>
      <c r="CX192" s="356"/>
      <c r="CY192" s="356"/>
      <c r="CZ192" s="356"/>
      <c r="DA192" s="356"/>
      <c r="DB192" s="356"/>
      <c r="DC192" s="356"/>
      <c r="DD192" s="356"/>
      <c r="DE192" s="356"/>
      <c r="DF192" s="356"/>
      <c r="DG192" s="356"/>
      <c r="DH192" s="356"/>
      <c r="DI192" s="356"/>
      <c r="DJ192" s="356"/>
      <c r="DK192" s="356"/>
      <c r="DL192" s="356"/>
      <c r="DM192" s="356"/>
      <c r="DN192" s="356"/>
      <c r="DO192" s="356"/>
      <c r="DP192" s="356"/>
      <c r="DQ192" s="356"/>
    </row>
    <row r="193" spans="1:121" hidden="1" outlineLevel="1">
      <c r="A193" s="41"/>
      <c r="B193" s="364"/>
      <c r="C193" s="356"/>
      <c r="D193" s="356"/>
      <c r="E193" s="362"/>
      <c r="F193" s="362"/>
      <c r="G193" s="356"/>
      <c r="H193" s="364"/>
      <c r="I193" s="364"/>
      <c r="J193" s="366"/>
      <c r="K193" s="366"/>
      <c r="L193" s="366"/>
      <c r="M193" s="366"/>
      <c r="N193" s="366"/>
      <c r="O193" s="366"/>
      <c r="P193" s="366"/>
      <c r="Q193" s="366"/>
      <c r="R193" s="369"/>
      <c r="S193" s="369"/>
      <c r="T193" s="366"/>
      <c r="U193" s="427"/>
      <c r="V193" s="427"/>
      <c r="W193" s="372"/>
      <c r="X193" s="373"/>
      <c r="Y193" s="373"/>
      <c r="Z193" s="374"/>
      <c r="AA193" s="374"/>
      <c r="AB193" s="374"/>
      <c r="AC193" s="374"/>
      <c r="AD193" s="369"/>
      <c r="AE193" s="376"/>
      <c r="AF193" s="376"/>
      <c r="AG193" s="376"/>
      <c r="AH193" s="376"/>
      <c r="AI193" s="375"/>
      <c r="AJ193" s="366"/>
      <c r="AK193" s="366"/>
      <c r="AL193" s="366"/>
      <c r="AM193" s="366"/>
      <c r="AN193" s="366"/>
      <c r="AO193" s="366"/>
      <c r="AP193" s="366"/>
      <c r="AQ193" s="366"/>
      <c r="AR193" s="366"/>
      <c r="AS193" s="366"/>
      <c r="AT193" s="366"/>
      <c r="AU193" s="366"/>
      <c r="AV193" s="366"/>
      <c r="AW193" s="366"/>
      <c r="AX193" s="366"/>
      <c r="AY193" s="366"/>
      <c r="AZ193" s="366"/>
      <c r="BA193" s="366"/>
      <c r="BB193" s="366"/>
      <c r="BC193" s="366"/>
      <c r="BD193" s="366"/>
      <c r="BE193" s="366"/>
      <c r="BF193" s="366"/>
      <c r="BG193" s="366"/>
      <c r="BH193" s="366"/>
      <c r="BI193" s="366"/>
      <c r="BJ193" s="366"/>
      <c r="BK193" s="366"/>
      <c r="BL193" s="366"/>
      <c r="BM193" s="366"/>
      <c r="BN193" s="366"/>
      <c r="BO193" s="366"/>
      <c r="BP193" s="366"/>
      <c r="BQ193" s="366"/>
      <c r="BR193" s="366"/>
      <c r="BS193" s="366"/>
      <c r="BT193" s="366"/>
      <c r="BU193" s="366"/>
      <c r="BV193" s="366"/>
      <c r="BW193" s="366"/>
      <c r="BX193" s="366"/>
      <c r="BY193" s="423"/>
      <c r="BZ193" s="423"/>
      <c r="CI193" s="356"/>
      <c r="CJ193" s="356"/>
      <c r="CK193" s="356"/>
      <c r="CP193" s="356"/>
      <c r="CQ193" s="356"/>
      <c r="CR193" s="356"/>
      <c r="CS193" s="356"/>
      <c r="CT193" s="356"/>
      <c r="CU193" s="356"/>
      <c r="CV193" s="356"/>
      <c r="CW193" s="356"/>
      <c r="CX193" s="356"/>
      <c r="CY193" s="356"/>
      <c r="CZ193" s="356"/>
      <c r="DA193" s="356"/>
      <c r="DB193" s="356"/>
      <c r="DC193" s="356"/>
      <c r="DD193" s="356"/>
      <c r="DE193" s="356"/>
      <c r="DF193" s="356"/>
      <c r="DG193" s="356"/>
      <c r="DH193" s="356"/>
      <c r="DI193" s="356"/>
      <c r="DJ193" s="356"/>
      <c r="DK193" s="356"/>
      <c r="DL193" s="356"/>
      <c r="DM193" s="356"/>
      <c r="DN193" s="356"/>
      <c r="DO193" s="356"/>
      <c r="DP193" s="356"/>
      <c r="DQ193" s="356"/>
    </row>
    <row r="194" spans="1:121" hidden="1" outlineLevel="1">
      <c r="A194" s="41"/>
      <c r="B194" s="364"/>
      <c r="C194" s="356"/>
      <c r="D194" s="356"/>
      <c r="E194" s="362"/>
      <c r="F194" s="362"/>
      <c r="G194" s="356"/>
      <c r="H194" s="364"/>
      <c r="I194" s="364"/>
      <c r="J194" s="366"/>
      <c r="K194" s="366"/>
      <c r="L194" s="366"/>
      <c r="M194" s="366"/>
      <c r="N194" s="366"/>
      <c r="O194" s="366"/>
      <c r="P194" s="366"/>
      <c r="Q194" s="366"/>
      <c r="R194" s="369"/>
      <c r="S194" s="369"/>
      <c r="T194" s="366"/>
      <c r="U194" s="427"/>
      <c r="V194" s="427"/>
      <c r="W194" s="372"/>
      <c r="X194" s="373"/>
      <c r="Y194" s="373"/>
      <c r="Z194" s="374"/>
      <c r="AA194" s="374"/>
      <c r="AB194" s="374"/>
      <c r="AC194" s="374"/>
      <c r="AD194" s="369"/>
      <c r="AE194" s="376"/>
      <c r="AF194" s="376"/>
      <c r="AG194" s="376"/>
      <c r="AH194" s="376"/>
      <c r="AI194" s="375"/>
      <c r="AJ194" s="366"/>
      <c r="AK194" s="366"/>
      <c r="AL194" s="366"/>
      <c r="AM194" s="366"/>
      <c r="AN194" s="366"/>
      <c r="AO194" s="366"/>
      <c r="AP194" s="366"/>
      <c r="AQ194" s="366"/>
      <c r="AR194" s="366"/>
      <c r="AS194" s="366"/>
      <c r="AT194" s="366"/>
      <c r="AU194" s="366"/>
      <c r="AV194" s="366"/>
      <c r="AW194" s="366"/>
      <c r="AX194" s="366"/>
      <c r="AY194" s="366"/>
      <c r="AZ194" s="366"/>
      <c r="BA194" s="366"/>
      <c r="BB194" s="366"/>
      <c r="BC194" s="366"/>
      <c r="BD194" s="366"/>
      <c r="BE194" s="366"/>
      <c r="BF194" s="366"/>
      <c r="BG194" s="366"/>
      <c r="BH194" s="366"/>
      <c r="BI194" s="366"/>
      <c r="BJ194" s="366"/>
      <c r="BK194" s="366"/>
      <c r="BL194" s="366"/>
      <c r="BM194" s="366"/>
      <c r="BN194" s="366"/>
      <c r="BO194" s="366"/>
      <c r="BP194" s="366"/>
      <c r="BQ194" s="366"/>
      <c r="BR194" s="366"/>
      <c r="BS194" s="366"/>
      <c r="BT194" s="366"/>
      <c r="BU194" s="366"/>
      <c r="BV194" s="366"/>
      <c r="BW194" s="366"/>
      <c r="BX194" s="366"/>
      <c r="BY194" s="423"/>
      <c r="BZ194" s="423"/>
      <c r="CI194" s="356"/>
      <c r="CJ194" s="356"/>
      <c r="CK194" s="356"/>
      <c r="CP194" s="356"/>
      <c r="CQ194" s="356"/>
      <c r="CR194" s="356"/>
      <c r="CS194" s="356"/>
      <c r="CT194" s="356"/>
      <c r="CU194" s="356"/>
      <c r="CV194" s="356"/>
      <c r="CW194" s="356"/>
      <c r="CX194" s="356"/>
      <c r="CY194" s="356"/>
      <c r="CZ194" s="356"/>
      <c r="DA194" s="356"/>
      <c r="DB194" s="356"/>
      <c r="DC194" s="356"/>
      <c r="DD194" s="356"/>
      <c r="DE194" s="356"/>
      <c r="DF194" s="356"/>
      <c r="DG194" s="356"/>
      <c r="DH194" s="356"/>
      <c r="DI194" s="356"/>
      <c r="DJ194" s="356"/>
      <c r="DK194" s="356"/>
      <c r="DL194" s="356"/>
      <c r="DM194" s="356"/>
      <c r="DN194" s="356"/>
      <c r="DO194" s="356"/>
      <c r="DP194" s="356"/>
      <c r="DQ194" s="356"/>
    </row>
    <row r="195" spans="1:121" hidden="1" outlineLevel="1">
      <c r="A195" s="41"/>
      <c r="B195" s="364"/>
      <c r="C195" s="356"/>
      <c r="D195" s="356"/>
      <c r="E195" s="362"/>
      <c r="F195" s="362"/>
      <c r="G195" s="356"/>
      <c r="H195" s="364"/>
      <c r="I195" s="364"/>
      <c r="J195" s="366"/>
      <c r="K195" s="366"/>
      <c r="L195" s="366"/>
      <c r="M195" s="366"/>
      <c r="N195" s="366"/>
      <c r="O195" s="366"/>
      <c r="P195" s="366"/>
      <c r="Q195" s="366"/>
      <c r="R195" s="369"/>
      <c r="S195" s="369"/>
      <c r="T195" s="366"/>
      <c r="U195" s="427"/>
      <c r="V195" s="427"/>
      <c r="W195" s="372"/>
      <c r="X195" s="373"/>
      <c r="Y195" s="373"/>
      <c r="Z195" s="374"/>
      <c r="AA195" s="374"/>
      <c r="AB195" s="374"/>
      <c r="AC195" s="374"/>
      <c r="AD195" s="369"/>
      <c r="AE195" s="376"/>
      <c r="AF195" s="376"/>
      <c r="AG195" s="376"/>
      <c r="AH195" s="376"/>
      <c r="AI195" s="375"/>
      <c r="AJ195" s="366"/>
      <c r="AK195" s="366"/>
      <c r="AL195" s="366"/>
      <c r="AM195" s="366"/>
      <c r="AN195" s="366"/>
      <c r="AO195" s="366"/>
      <c r="AP195" s="366"/>
      <c r="AQ195" s="366"/>
      <c r="AR195" s="366"/>
      <c r="AS195" s="366"/>
      <c r="AT195" s="366"/>
      <c r="AU195" s="366"/>
      <c r="AV195" s="366"/>
      <c r="AW195" s="366"/>
      <c r="AX195" s="366"/>
      <c r="AY195" s="366"/>
      <c r="AZ195" s="366"/>
      <c r="BA195" s="366"/>
      <c r="BB195" s="366"/>
      <c r="BC195" s="366"/>
      <c r="BD195" s="366"/>
      <c r="BE195" s="366"/>
      <c r="BF195" s="366"/>
      <c r="BG195" s="366"/>
      <c r="BH195" s="366"/>
      <c r="BI195" s="366"/>
      <c r="BJ195" s="366"/>
      <c r="BK195" s="366"/>
      <c r="BL195" s="366"/>
      <c r="BM195" s="366"/>
      <c r="BN195" s="366"/>
      <c r="BO195" s="366"/>
      <c r="BP195" s="366"/>
      <c r="BQ195" s="366"/>
      <c r="BR195" s="366"/>
      <c r="BS195" s="366"/>
      <c r="BT195" s="366"/>
      <c r="BU195" s="366"/>
      <c r="BV195" s="366"/>
      <c r="BW195" s="366"/>
      <c r="BX195" s="366"/>
      <c r="BY195" s="423"/>
      <c r="BZ195" s="423"/>
      <c r="CI195" s="356"/>
      <c r="CJ195" s="356"/>
      <c r="CK195" s="356"/>
      <c r="CP195" s="356"/>
      <c r="CQ195" s="356"/>
      <c r="CR195" s="356"/>
      <c r="CS195" s="356"/>
      <c r="CT195" s="356"/>
      <c r="CU195" s="356"/>
      <c r="CV195" s="356"/>
      <c r="CW195" s="356"/>
      <c r="CX195" s="356"/>
      <c r="CY195" s="356"/>
      <c r="CZ195" s="356"/>
      <c r="DA195" s="356"/>
      <c r="DB195" s="356"/>
      <c r="DC195" s="356"/>
      <c r="DD195" s="356"/>
      <c r="DE195" s="356"/>
      <c r="DF195" s="356"/>
      <c r="DG195" s="356"/>
      <c r="DH195" s="356"/>
      <c r="DI195" s="356"/>
      <c r="DJ195" s="356"/>
      <c r="DK195" s="356"/>
      <c r="DL195" s="356"/>
      <c r="DM195" s="356"/>
      <c r="DN195" s="356"/>
      <c r="DO195" s="356"/>
      <c r="DP195" s="356"/>
      <c r="DQ195" s="356"/>
    </row>
    <row r="196" spans="1:121" hidden="1" outlineLevel="1">
      <c r="A196" s="41"/>
      <c r="B196" s="364"/>
      <c r="C196" s="356"/>
      <c r="D196" s="356"/>
      <c r="E196" s="362"/>
      <c r="F196" s="362"/>
      <c r="G196" s="356"/>
      <c r="H196" s="364"/>
      <c r="I196" s="364"/>
      <c r="J196" s="366"/>
      <c r="K196" s="366"/>
      <c r="L196" s="366"/>
      <c r="M196" s="366"/>
      <c r="N196" s="366"/>
      <c r="O196" s="366"/>
      <c r="P196" s="366"/>
      <c r="Q196" s="366"/>
      <c r="R196" s="369"/>
      <c r="S196" s="369"/>
      <c r="T196" s="366"/>
      <c r="U196" s="427"/>
      <c r="V196" s="427"/>
      <c r="W196" s="372"/>
      <c r="X196" s="373"/>
      <c r="Y196" s="373"/>
      <c r="Z196" s="374"/>
      <c r="AA196" s="374"/>
      <c r="AB196" s="374"/>
      <c r="AC196" s="374"/>
      <c r="AD196" s="369"/>
      <c r="AE196" s="376"/>
      <c r="AF196" s="376"/>
      <c r="AG196" s="376"/>
      <c r="AH196" s="376"/>
      <c r="AI196" s="375"/>
      <c r="AJ196" s="366"/>
      <c r="AK196" s="366"/>
      <c r="AL196" s="366"/>
      <c r="AM196" s="366"/>
      <c r="AN196" s="366"/>
      <c r="AO196" s="366"/>
      <c r="AP196" s="366"/>
      <c r="AQ196" s="366"/>
      <c r="AR196" s="366"/>
      <c r="AS196" s="366"/>
      <c r="AT196" s="366"/>
      <c r="AU196" s="366"/>
      <c r="AV196" s="366"/>
      <c r="AW196" s="366"/>
      <c r="AX196" s="366"/>
      <c r="AY196" s="366"/>
      <c r="AZ196" s="366"/>
      <c r="BA196" s="366"/>
      <c r="BB196" s="366"/>
      <c r="BC196" s="366"/>
      <c r="BD196" s="366"/>
      <c r="BE196" s="366"/>
      <c r="BF196" s="366"/>
      <c r="BG196" s="366"/>
      <c r="BH196" s="366"/>
      <c r="BI196" s="366"/>
      <c r="BJ196" s="366"/>
      <c r="BK196" s="366"/>
      <c r="BL196" s="366"/>
      <c r="BM196" s="366"/>
      <c r="BN196" s="366"/>
      <c r="BO196" s="366"/>
      <c r="BP196" s="366"/>
      <c r="BQ196" s="366"/>
      <c r="BR196" s="366"/>
      <c r="BS196" s="366"/>
      <c r="BT196" s="366"/>
      <c r="BU196" s="366"/>
      <c r="BV196" s="366"/>
      <c r="BW196" s="366"/>
      <c r="BX196" s="366"/>
      <c r="BY196" s="423"/>
      <c r="BZ196" s="423"/>
      <c r="CI196" s="356"/>
      <c r="CJ196" s="356"/>
      <c r="CK196" s="356"/>
      <c r="CP196" s="356"/>
      <c r="CQ196" s="356"/>
      <c r="CR196" s="356"/>
      <c r="CS196" s="356"/>
      <c r="CT196" s="356"/>
      <c r="CU196" s="356"/>
      <c r="CV196" s="356"/>
      <c r="CW196" s="356"/>
      <c r="CX196" s="356"/>
      <c r="CY196" s="356"/>
      <c r="CZ196" s="356"/>
      <c r="DA196" s="356"/>
      <c r="DB196" s="356"/>
      <c r="DC196" s="356"/>
      <c r="DD196" s="356"/>
      <c r="DE196" s="356"/>
      <c r="DF196" s="356"/>
      <c r="DG196" s="356"/>
      <c r="DH196" s="356"/>
      <c r="DI196" s="356"/>
      <c r="DJ196" s="356"/>
      <c r="DK196" s="356"/>
      <c r="DL196" s="356"/>
      <c r="DM196" s="356"/>
      <c r="DN196" s="356"/>
      <c r="DO196" s="356"/>
      <c r="DP196" s="356"/>
      <c r="DQ196" s="356"/>
    </row>
    <row r="197" spans="1:121" hidden="1" outlineLevel="1">
      <c r="A197" s="41"/>
      <c r="B197" s="364"/>
      <c r="C197" s="356"/>
      <c r="D197" s="356"/>
      <c r="E197" s="362"/>
      <c r="F197" s="362"/>
      <c r="G197" s="356"/>
      <c r="H197" s="364"/>
      <c r="I197" s="364"/>
      <c r="J197" s="366"/>
      <c r="K197" s="366"/>
      <c r="L197" s="366"/>
      <c r="M197" s="366"/>
      <c r="N197" s="366"/>
      <c r="O197" s="366"/>
      <c r="P197" s="366"/>
      <c r="Q197" s="366"/>
      <c r="R197" s="369"/>
      <c r="S197" s="369"/>
      <c r="T197" s="366"/>
      <c r="U197" s="427"/>
      <c r="V197" s="427"/>
      <c r="W197" s="372"/>
      <c r="X197" s="373"/>
      <c r="Y197" s="373"/>
      <c r="Z197" s="374"/>
      <c r="AA197" s="374"/>
      <c r="AB197" s="374"/>
      <c r="AC197" s="374"/>
      <c r="AD197" s="369"/>
      <c r="AE197" s="376"/>
      <c r="AF197" s="376"/>
      <c r="AG197" s="376"/>
      <c r="AH197" s="376"/>
      <c r="AI197" s="375"/>
      <c r="AJ197" s="366"/>
      <c r="AK197" s="366"/>
      <c r="AL197" s="366"/>
      <c r="AM197" s="366"/>
      <c r="AN197" s="366"/>
      <c r="AO197" s="366"/>
      <c r="AP197" s="366"/>
      <c r="AQ197" s="366"/>
      <c r="AR197" s="366"/>
      <c r="AS197" s="366"/>
      <c r="AT197" s="366"/>
      <c r="AU197" s="366"/>
      <c r="AV197" s="366"/>
      <c r="AW197" s="366"/>
      <c r="AX197" s="366"/>
      <c r="AY197" s="366"/>
      <c r="AZ197" s="366"/>
      <c r="BA197" s="366"/>
      <c r="BB197" s="366"/>
      <c r="BC197" s="366"/>
      <c r="BD197" s="366"/>
      <c r="BE197" s="366"/>
      <c r="BF197" s="366"/>
      <c r="BG197" s="366"/>
      <c r="BH197" s="366"/>
      <c r="BI197" s="366"/>
      <c r="BJ197" s="366"/>
      <c r="BK197" s="366"/>
      <c r="BL197" s="366"/>
      <c r="BM197" s="366"/>
      <c r="BN197" s="366"/>
      <c r="BO197" s="366"/>
      <c r="BP197" s="366"/>
      <c r="BQ197" s="366"/>
      <c r="BR197" s="366"/>
      <c r="BS197" s="366"/>
      <c r="BT197" s="366"/>
      <c r="BU197" s="366"/>
      <c r="BV197" s="366"/>
      <c r="BW197" s="366"/>
      <c r="BX197" s="366"/>
      <c r="BY197" s="423"/>
      <c r="BZ197" s="423"/>
      <c r="CI197" s="356"/>
      <c r="CJ197" s="356"/>
      <c r="CK197" s="356"/>
      <c r="CP197" s="356"/>
      <c r="CQ197" s="356"/>
      <c r="CR197" s="356"/>
      <c r="CS197" s="356"/>
      <c r="CT197" s="356"/>
      <c r="CU197" s="356"/>
      <c r="CV197" s="356"/>
      <c r="CW197" s="356"/>
      <c r="CX197" s="356"/>
      <c r="CY197" s="356"/>
      <c r="CZ197" s="356"/>
      <c r="DA197" s="356"/>
      <c r="DB197" s="356"/>
      <c r="DC197" s="356"/>
      <c r="DD197" s="356"/>
      <c r="DE197" s="356"/>
      <c r="DF197" s="356"/>
      <c r="DG197" s="356"/>
      <c r="DH197" s="356"/>
      <c r="DI197" s="356"/>
      <c r="DJ197" s="356"/>
      <c r="DK197" s="356"/>
      <c r="DL197" s="356"/>
      <c r="DM197" s="356"/>
      <c r="DN197" s="356"/>
      <c r="DO197" s="356"/>
      <c r="DP197" s="356"/>
      <c r="DQ197" s="356"/>
    </row>
    <row r="198" spans="1:121" hidden="1" outlineLevel="1">
      <c r="A198" s="41"/>
      <c r="B198" s="364"/>
      <c r="C198" s="356"/>
      <c r="D198" s="356"/>
      <c r="E198" s="362"/>
      <c r="F198" s="362"/>
      <c r="G198" s="356"/>
      <c r="H198" s="364"/>
      <c r="I198" s="364"/>
      <c r="J198" s="366"/>
      <c r="K198" s="366"/>
      <c r="L198" s="366"/>
      <c r="M198" s="366"/>
      <c r="N198" s="366"/>
      <c r="O198" s="366"/>
      <c r="P198" s="366"/>
      <c r="Q198" s="366"/>
      <c r="R198" s="369"/>
      <c r="S198" s="369"/>
      <c r="T198" s="366"/>
      <c r="U198" s="427"/>
      <c r="V198" s="427"/>
      <c r="W198" s="372"/>
      <c r="X198" s="373"/>
      <c r="Y198" s="373"/>
      <c r="Z198" s="374"/>
      <c r="AA198" s="374"/>
      <c r="AB198" s="374"/>
      <c r="AC198" s="374"/>
      <c r="AD198" s="369"/>
      <c r="AE198" s="376"/>
      <c r="AF198" s="376"/>
      <c r="AG198" s="376"/>
      <c r="AH198" s="376"/>
      <c r="AI198" s="375"/>
      <c r="AJ198" s="366"/>
      <c r="AK198" s="366"/>
      <c r="AL198" s="366"/>
      <c r="AM198" s="366"/>
      <c r="AN198" s="366"/>
      <c r="AO198" s="366"/>
      <c r="AP198" s="366"/>
      <c r="AQ198" s="366"/>
      <c r="AR198" s="366"/>
      <c r="AS198" s="366"/>
      <c r="AT198" s="366"/>
      <c r="AU198" s="366"/>
      <c r="AV198" s="366"/>
      <c r="AW198" s="366"/>
      <c r="AX198" s="366"/>
      <c r="AY198" s="366"/>
      <c r="AZ198" s="366"/>
      <c r="BA198" s="366"/>
      <c r="BB198" s="366"/>
      <c r="BC198" s="366"/>
      <c r="BD198" s="366"/>
      <c r="BE198" s="366"/>
      <c r="BF198" s="366"/>
      <c r="BG198" s="366"/>
      <c r="BH198" s="366"/>
      <c r="BI198" s="366"/>
      <c r="BJ198" s="366"/>
      <c r="BK198" s="366"/>
      <c r="BL198" s="366"/>
      <c r="BM198" s="366"/>
      <c r="BN198" s="366"/>
      <c r="BO198" s="366"/>
      <c r="BP198" s="366"/>
      <c r="BQ198" s="366"/>
      <c r="BR198" s="366"/>
      <c r="BS198" s="366"/>
      <c r="BT198" s="366"/>
      <c r="BU198" s="366"/>
      <c r="BV198" s="366"/>
      <c r="BW198" s="366"/>
      <c r="BX198" s="366"/>
      <c r="BY198" s="423"/>
      <c r="BZ198" s="423"/>
      <c r="CI198" s="356"/>
      <c r="CJ198" s="356"/>
      <c r="CK198" s="356"/>
      <c r="CP198" s="356"/>
      <c r="CQ198" s="356"/>
      <c r="CR198" s="356"/>
      <c r="CS198" s="356"/>
      <c r="CT198" s="356"/>
      <c r="CU198" s="356"/>
      <c r="CV198" s="356"/>
      <c r="CW198" s="356"/>
      <c r="CX198" s="356"/>
      <c r="CY198" s="356"/>
      <c r="CZ198" s="356"/>
      <c r="DA198" s="356"/>
      <c r="DB198" s="356"/>
      <c r="DC198" s="356"/>
      <c r="DD198" s="356"/>
      <c r="DE198" s="356"/>
      <c r="DF198" s="356"/>
      <c r="DG198" s="356"/>
      <c r="DH198" s="356"/>
      <c r="DI198" s="356"/>
      <c r="DJ198" s="356"/>
      <c r="DK198" s="356"/>
      <c r="DL198" s="356"/>
      <c r="DM198" s="356"/>
      <c r="DN198" s="356"/>
      <c r="DO198" s="356"/>
      <c r="DP198" s="356"/>
      <c r="DQ198" s="356"/>
    </row>
    <row r="199" spans="1:121" hidden="1" outlineLevel="1">
      <c r="A199" s="41"/>
      <c r="B199" s="364"/>
      <c r="C199" s="356"/>
      <c r="D199" s="356"/>
      <c r="E199" s="362"/>
      <c r="F199" s="362"/>
      <c r="G199" s="356"/>
      <c r="H199" s="364"/>
      <c r="I199" s="364"/>
      <c r="J199" s="366"/>
      <c r="K199" s="366"/>
      <c r="L199" s="366"/>
      <c r="M199" s="366"/>
      <c r="N199" s="366"/>
      <c r="O199" s="366"/>
      <c r="P199" s="366"/>
      <c r="Q199" s="366"/>
      <c r="R199" s="369"/>
      <c r="S199" s="369"/>
      <c r="T199" s="366"/>
      <c r="U199" s="427"/>
      <c r="V199" s="427"/>
      <c r="W199" s="372"/>
      <c r="X199" s="373"/>
      <c r="Y199" s="373"/>
      <c r="Z199" s="374"/>
      <c r="AA199" s="374"/>
      <c r="AB199" s="374"/>
      <c r="AC199" s="374"/>
      <c r="AD199" s="369"/>
      <c r="AE199" s="376"/>
      <c r="AF199" s="376"/>
      <c r="AG199" s="376"/>
      <c r="AH199" s="376"/>
      <c r="AI199" s="375"/>
      <c r="AJ199" s="366"/>
      <c r="AK199" s="366"/>
      <c r="AL199" s="366"/>
      <c r="AM199" s="366"/>
      <c r="AN199" s="366"/>
      <c r="AO199" s="366"/>
      <c r="AP199" s="366"/>
      <c r="AQ199" s="366"/>
      <c r="AR199" s="366"/>
      <c r="AS199" s="366"/>
      <c r="AT199" s="366"/>
      <c r="AU199" s="366"/>
      <c r="AV199" s="366"/>
      <c r="AW199" s="366"/>
      <c r="AX199" s="366"/>
      <c r="AY199" s="366"/>
      <c r="AZ199" s="366"/>
      <c r="BA199" s="366"/>
      <c r="BB199" s="366"/>
      <c r="BC199" s="366"/>
      <c r="BD199" s="366"/>
      <c r="BE199" s="366"/>
      <c r="BF199" s="366"/>
      <c r="BG199" s="366"/>
      <c r="BH199" s="366"/>
      <c r="BI199" s="366"/>
      <c r="BJ199" s="366"/>
      <c r="BK199" s="366"/>
      <c r="BL199" s="366"/>
      <c r="BM199" s="366"/>
      <c r="BN199" s="366"/>
      <c r="BO199" s="366"/>
      <c r="BP199" s="366"/>
      <c r="BQ199" s="366"/>
      <c r="BR199" s="366"/>
      <c r="BS199" s="366"/>
      <c r="BT199" s="366"/>
      <c r="BU199" s="366"/>
      <c r="BV199" s="366"/>
      <c r="BW199" s="366"/>
      <c r="BX199" s="366"/>
      <c r="BY199" s="423"/>
      <c r="BZ199" s="423"/>
      <c r="CI199" s="356"/>
      <c r="CJ199" s="356"/>
      <c r="CK199" s="356"/>
      <c r="CP199" s="356"/>
      <c r="CQ199" s="356"/>
      <c r="CR199" s="356"/>
      <c r="CS199" s="356"/>
      <c r="CT199" s="356"/>
      <c r="CU199" s="356"/>
      <c r="CV199" s="356"/>
      <c r="CW199" s="356"/>
      <c r="CX199" s="356"/>
      <c r="CY199" s="356"/>
      <c r="CZ199" s="356"/>
      <c r="DA199" s="356"/>
      <c r="DB199" s="356"/>
      <c r="DC199" s="356"/>
      <c r="DD199" s="356"/>
      <c r="DE199" s="356"/>
      <c r="DF199" s="356"/>
      <c r="DG199" s="356"/>
      <c r="DH199" s="356"/>
      <c r="DI199" s="356"/>
      <c r="DJ199" s="356"/>
      <c r="DK199" s="356"/>
      <c r="DL199" s="356"/>
      <c r="DM199" s="356"/>
      <c r="DN199" s="356"/>
      <c r="DO199" s="356"/>
      <c r="DP199" s="356"/>
      <c r="DQ199" s="356"/>
    </row>
    <row r="200" spans="1:121" hidden="1" outlineLevel="1">
      <c r="A200" s="41"/>
      <c r="B200" s="364"/>
      <c r="C200" s="356"/>
      <c r="D200" s="356"/>
      <c r="E200" s="362"/>
      <c r="F200" s="362"/>
      <c r="G200" s="356"/>
      <c r="H200" s="364"/>
      <c r="I200" s="364"/>
      <c r="J200" s="366"/>
      <c r="K200" s="366"/>
      <c r="L200" s="366"/>
      <c r="M200" s="366"/>
      <c r="N200" s="366"/>
      <c r="O200" s="366"/>
      <c r="P200" s="366"/>
      <c r="Q200" s="366"/>
      <c r="R200" s="369"/>
      <c r="S200" s="369"/>
      <c r="T200" s="366"/>
      <c r="U200" s="427"/>
      <c r="V200" s="427"/>
      <c r="W200" s="372"/>
      <c r="X200" s="373"/>
      <c r="Y200" s="373"/>
      <c r="Z200" s="374"/>
      <c r="AA200" s="374"/>
      <c r="AB200" s="374"/>
      <c r="AC200" s="374"/>
      <c r="AD200" s="369"/>
      <c r="AE200" s="376"/>
      <c r="AF200" s="376"/>
      <c r="AG200" s="376"/>
      <c r="AH200" s="376"/>
      <c r="AI200" s="375"/>
      <c r="AJ200" s="366"/>
      <c r="AK200" s="366"/>
      <c r="AL200" s="366"/>
      <c r="AM200" s="366"/>
      <c r="AN200" s="366"/>
      <c r="AO200" s="366"/>
      <c r="AP200" s="366"/>
      <c r="AQ200" s="366"/>
      <c r="AR200" s="366"/>
      <c r="AS200" s="366"/>
      <c r="AT200" s="366"/>
      <c r="AU200" s="366"/>
      <c r="AV200" s="366"/>
      <c r="AW200" s="366"/>
      <c r="AX200" s="366"/>
      <c r="AY200" s="366"/>
      <c r="AZ200" s="366"/>
      <c r="BA200" s="366"/>
      <c r="BB200" s="366"/>
      <c r="BC200" s="366"/>
      <c r="BD200" s="366"/>
      <c r="BE200" s="366"/>
      <c r="BF200" s="366"/>
      <c r="BG200" s="366"/>
      <c r="BH200" s="366"/>
      <c r="BI200" s="366"/>
      <c r="BJ200" s="366"/>
      <c r="BK200" s="366"/>
      <c r="BL200" s="366"/>
      <c r="BM200" s="366"/>
      <c r="BN200" s="366"/>
      <c r="BO200" s="366"/>
      <c r="BP200" s="366"/>
      <c r="BQ200" s="366"/>
      <c r="BR200" s="366"/>
      <c r="BS200" s="366"/>
      <c r="BT200" s="366"/>
      <c r="BU200" s="366"/>
      <c r="BV200" s="366"/>
      <c r="BW200" s="366"/>
      <c r="BX200" s="366"/>
      <c r="BY200" s="423"/>
      <c r="BZ200" s="423"/>
      <c r="CI200" s="356"/>
      <c r="CJ200" s="356"/>
      <c r="CK200" s="356"/>
      <c r="CP200" s="356"/>
      <c r="CQ200" s="356"/>
      <c r="CR200" s="356"/>
      <c r="CS200" s="356"/>
      <c r="CT200" s="356"/>
      <c r="CU200" s="356"/>
      <c r="CV200" s="356"/>
      <c r="CW200" s="356"/>
      <c r="CX200" s="356"/>
      <c r="CY200" s="356"/>
      <c r="CZ200" s="356"/>
      <c r="DA200" s="356"/>
      <c r="DB200" s="356"/>
      <c r="DC200" s="356"/>
      <c r="DD200" s="356"/>
      <c r="DE200" s="356"/>
      <c r="DF200" s="356"/>
      <c r="DG200" s="356"/>
      <c r="DH200" s="356"/>
      <c r="DI200" s="356"/>
      <c r="DJ200" s="356"/>
      <c r="DK200" s="356"/>
      <c r="DL200" s="356"/>
      <c r="DM200" s="356"/>
      <c r="DN200" s="356"/>
      <c r="DO200" s="356"/>
      <c r="DP200" s="356"/>
      <c r="DQ200" s="356"/>
    </row>
    <row r="201" spans="1:121" hidden="1" outlineLevel="1">
      <c r="A201" s="41"/>
      <c r="B201" s="364"/>
      <c r="C201" s="356"/>
      <c r="D201" s="356"/>
      <c r="E201" s="362"/>
      <c r="F201" s="362"/>
      <c r="G201" s="356"/>
      <c r="H201" s="364"/>
      <c r="I201" s="364"/>
      <c r="J201" s="366"/>
      <c r="K201" s="366"/>
      <c r="L201" s="366"/>
      <c r="M201" s="366"/>
      <c r="N201" s="366"/>
      <c r="O201" s="366"/>
      <c r="P201" s="366"/>
      <c r="Q201" s="366"/>
      <c r="R201" s="369"/>
      <c r="S201" s="369"/>
      <c r="T201" s="366"/>
      <c r="U201" s="427"/>
      <c r="V201" s="427"/>
      <c r="W201" s="372"/>
      <c r="X201" s="373"/>
      <c r="Y201" s="373"/>
      <c r="Z201" s="374"/>
      <c r="AA201" s="374"/>
      <c r="AB201" s="374"/>
      <c r="AC201" s="374"/>
      <c r="AD201" s="369"/>
      <c r="AE201" s="376"/>
      <c r="AF201" s="376"/>
      <c r="AG201" s="376"/>
      <c r="AH201" s="376"/>
      <c r="AI201" s="375"/>
      <c r="AJ201" s="366"/>
      <c r="AK201" s="366"/>
      <c r="AL201" s="366"/>
      <c r="AM201" s="366"/>
      <c r="AN201" s="366"/>
      <c r="AO201" s="366"/>
      <c r="AP201" s="366"/>
      <c r="AQ201" s="366"/>
      <c r="AR201" s="366"/>
      <c r="AS201" s="366"/>
      <c r="AT201" s="366"/>
      <c r="AU201" s="366"/>
      <c r="AV201" s="366"/>
      <c r="AW201" s="366"/>
      <c r="AX201" s="366"/>
      <c r="AY201" s="366"/>
      <c r="AZ201" s="366"/>
      <c r="BA201" s="366"/>
      <c r="BB201" s="366"/>
      <c r="BC201" s="366"/>
      <c r="BD201" s="366"/>
      <c r="BE201" s="366"/>
      <c r="BF201" s="366"/>
      <c r="BG201" s="366"/>
      <c r="BH201" s="366"/>
      <c r="BI201" s="366"/>
      <c r="BJ201" s="366"/>
      <c r="BK201" s="366"/>
      <c r="BL201" s="366"/>
      <c r="BM201" s="366"/>
      <c r="BN201" s="366"/>
      <c r="BO201" s="366"/>
      <c r="BP201" s="366"/>
      <c r="BQ201" s="366"/>
      <c r="BR201" s="366"/>
      <c r="BS201" s="366"/>
      <c r="BT201" s="366"/>
      <c r="BU201" s="366"/>
      <c r="BV201" s="366"/>
      <c r="BW201" s="366"/>
      <c r="BX201" s="366"/>
      <c r="BY201" s="423"/>
      <c r="BZ201" s="423"/>
      <c r="CI201" s="356"/>
      <c r="CJ201" s="356"/>
      <c r="CK201" s="356"/>
      <c r="CP201" s="356"/>
      <c r="CQ201" s="356"/>
      <c r="CR201" s="356"/>
      <c r="CS201" s="356"/>
      <c r="CT201" s="356"/>
      <c r="CU201" s="356"/>
      <c r="CV201" s="356"/>
      <c r="CW201" s="356"/>
      <c r="CX201" s="356"/>
      <c r="CY201" s="356"/>
      <c r="CZ201" s="356"/>
      <c r="DA201" s="356"/>
      <c r="DB201" s="356"/>
      <c r="DC201" s="356"/>
      <c r="DD201" s="356"/>
      <c r="DE201" s="356"/>
      <c r="DF201" s="356"/>
      <c r="DG201" s="356"/>
      <c r="DH201" s="356"/>
      <c r="DI201" s="356"/>
      <c r="DJ201" s="356"/>
      <c r="DK201" s="356"/>
      <c r="DL201" s="356"/>
      <c r="DM201" s="356"/>
      <c r="DN201" s="356"/>
      <c r="DO201" s="356"/>
      <c r="DP201" s="356"/>
      <c r="DQ201" s="356"/>
    </row>
    <row r="202" spans="1:121" hidden="1" outlineLevel="1">
      <c r="A202" s="41"/>
      <c r="B202" s="364"/>
      <c r="C202" s="356"/>
      <c r="D202" s="356"/>
      <c r="E202" s="362"/>
      <c r="F202" s="362"/>
      <c r="G202" s="356"/>
      <c r="H202" s="364"/>
      <c r="I202" s="364"/>
      <c r="J202" s="366"/>
      <c r="K202" s="366"/>
      <c r="L202" s="366"/>
      <c r="M202" s="366"/>
      <c r="N202" s="366"/>
      <c r="O202" s="366"/>
      <c r="P202" s="366"/>
      <c r="Q202" s="366"/>
      <c r="R202" s="369"/>
      <c r="S202" s="369"/>
      <c r="T202" s="366"/>
      <c r="U202" s="427"/>
      <c r="V202" s="427"/>
      <c r="W202" s="372"/>
      <c r="X202" s="373"/>
      <c r="Y202" s="373"/>
      <c r="Z202" s="374"/>
      <c r="AA202" s="374"/>
      <c r="AB202" s="374"/>
      <c r="AC202" s="374"/>
      <c r="AD202" s="369"/>
      <c r="AE202" s="376"/>
      <c r="AF202" s="376"/>
      <c r="AG202" s="376"/>
      <c r="AH202" s="376"/>
      <c r="AI202" s="375"/>
      <c r="AJ202" s="366"/>
      <c r="AK202" s="366"/>
      <c r="AL202" s="366"/>
      <c r="AM202" s="366"/>
      <c r="AN202" s="366"/>
      <c r="AO202" s="366"/>
      <c r="AP202" s="366"/>
      <c r="AQ202" s="366"/>
      <c r="AR202" s="366"/>
      <c r="AS202" s="366"/>
      <c r="AT202" s="366"/>
      <c r="AU202" s="366"/>
      <c r="AV202" s="366"/>
      <c r="AW202" s="366"/>
      <c r="AX202" s="366"/>
      <c r="AY202" s="366"/>
      <c r="AZ202" s="366"/>
      <c r="BA202" s="366"/>
      <c r="BB202" s="366"/>
      <c r="BC202" s="366"/>
      <c r="BD202" s="366"/>
      <c r="BE202" s="366"/>
      <c r="BF202" s="366"/>
      <c r="BG202" s="366"/>
      <c r="BH202" s="366"/>
      <c r="BI202" s="366"/>
      <c r="BJ202" s="366"/>
      <c r="BK202" s="366"/>
      <c r="BL202" s="366"/>
      <c r="BM202" s="366"/>
      <c r="BN202" s="366"/>
      <c r="BO202" s="366"/>
      <c r="BP202" s="366"/>
      <c r="BQ202" s="366"/>
      <c r="BR202" s="366"/>
      <c r="BS202" s="366"/>
      <c r="BT202" s="366"/>
      <c r="BU202" s="366"/>
      <c r="BV202" s="366"/>
      <c r="BW202" s="366"/>
      <c r="BX202" s="366"/>
      <c r="BY202" s="423"/>
      <c r="BZ202" s="423"/>
      <c r="CI202" s="356"/>
      <c r="CJ202" s="356"/>
      <c r="CK202" s="356"/>
      <c r="CP202" s="356"/>
      <c r="CQ202" s="356"/>
      <c r="CR202" s="356"/>
      <c r="CS202" s="356"/>
      <c r="CT202" s="356"/>
      <c r="CU202" s="356"/>
      <c r="CV202" s="356"/>
      <c r="CW202" s="356"/>
      <c r="CX202" s="356"/>
      <c r="CY202" s="356"/>
      <c r="CZ202" s="356"/>
      <c r="DA202" s="356"/>
      <c r="DB202" s="356"/>
      <c r="DC202" s="356"/>
      <c r="DD202" s="356"/>
      <c r="DE202" s="356"/>
      <c r="DF202" s="356"/>
      <c r="DG202" s="356"/>
      <c r="DH202" s="356"/>
      <c r="DI202" s="356"/>
      <c r="DJ202" s="356"/>
      <c r="DK202" s="356"/>
      <c r="DL202" s="356"/>
      <c r="DM202" s="356"/>
      <c r="DN202" s="356"/>
      <c r="DO202" s="356"/>
      <c r="DP202" s="356"/>
      <c r="DQ202" s="356"/>
    </row>
    <row r="203" spans="1:121" hidden="1" outlineLevel="1">
      <c r="A203" s="41"/>
      <c r="B203" s="364"/>
      <c r="C203" s="356"/>
      <c r="D203" s="356"/>
      <c r="E203" s="362"/>
      <c r="F203" s="362"/>
      <c r="G203" s="356"/>
      <c r="H203" s="364"/>
      <c r="I203" s="364"/>
      <c r="J203" s="366"/>
      <c r="K203" s="366"/>
      <c r="L203" s="366"/>
      <c r="M203" s="366"/>
      <c r="N203" s="366"/>
      <c r="O203" s="366"/>
      <c r="P203" s="366"/>
      <c r="Q203" s="366"/>
      <c r="R203" s="369"/>
      <c r="S203" s="369"/>
      <c r="T203" s="366"/>
      <c r="U203" s="427"/>
      <c r="V203" s="427"/>
      <c r="W203" s="372"/>
      <c r="X203" s="373"/>
      <c r="Y203" s="373"/>
      <c r="Z203" s="374"/>
      <c r="AA203" s="374"/>
      <c r="AB203" s="374"/>
      <c r="AC203" s="374"/>
      <c r="AD203" s="369"/>
      <c r="AE203" s="376"/>
      <c r="AF203" s="376"/>
      <c r="AG203" s="376"/>
      <c r="AH203" s="376"/>
      <c r="AI203" s="375"/>
      <c r="AJ203" s="366"/>
      <c r="AK203" s="366"/>
      <c r="AL203" s="366"/>
      <c r="AM203" s="366"/>
      <c r="AN203" s="366"/>
      <c r="AO203" s="366"/>
      <c r="AP203" s="366"/>
      <c r="AQ203" s="366"/>
      <c r="AR203" s="366"/>
      <c r="AS203" s="366"/>
      <c r="AT203" s="366"/>
      <c r="AU203" s="366"/>
      <c r="AV203" s="366"/>
      <c r="AW203" s="366"/>
      <c r="AX203" s="366"/>
      <c r="AY203" s="366"/>
      <c r="AZ203" s="366"/>
      <c r="BA203" s="366"/>
      <c r="BB203" s="366"/>
      <c r="BC203" s="366"/>
      <c r="BD203" s="366"/>
      <c r="BE203" s="366"/>
      <c r="BF203" s="366"/>
      <c r="BG203" s="366"/>
      <c r="BH203" s="366"/>
      <c r="BI203" s="366"/>
      <c r="BJ203" s="366"/>
      <c r="BK203" s="366"/>
      <c r="BL203" s="366"/>
      <c r="BM203" s="366"/>
      <c r="BN203" s="366"/>
      <c r="BO203" s="366"/>
      <c r="BP203" s="366"/>
      <c r="BQ203" s="366"/>
      <c r="BR203" s="366"/>
      <c r="BS203" s="366"/>
      <c r="BT203" s="366"/>
      <c r="BU203" s="366"/>
      <c r="BV203" s="366"/>
      <c r="BW203" s="366"/>
      <c r="BX203" s="366"/>
      <c r="BY203" s="423"/>
      <c r="BZ203" s="423"/>
      <c r="CI203" s="356"/>
      <c r="CJ203" s="356"/>
      <c r="CK203" s="356"/>
      <c r="CP203" s="356"/>
      <c r="CQ203" s="356"/>
      <c r="CR203" s="356"/>
      <c r="CS203" s="356"/>
      <c r="CT203" s="356"/>
      <c r="CU203" s="356"/>
      <c r="CV203" s="356"/>
      <c r="CW203" s="356"/>
      <c r="CX203" s="356"/>
      <c r="CY203" s="356"/>
      <c r="CZ203" s="356"/>
      <c r="DA203" s="356"/>
      <c r="DB203" s="356"/>
      <c r="DC203" s="356"/>
      <c r="DD203" s="356"/>
      <c r="DE203" s="356"/>
      <c r="DF203" s="356"/>
      <c r="DG203" s="356"/>
      <c r="DH203" s="356"/>
      <c r="DI203" s="356"/>
      <c r="DJ203" s="356"/>
      <c r="DK203" s="356"/>
      <c r="DL203" s="356"/>
      <c r="DM203" s="356"/>
      <c r="DN203" s="356"/>
      <c r="DO203" s="356"/>
      <c r="DP203" s="356"/>
      <c r="DQ203" s="356"/>
    </row>
    <row r="204" spans="1:121" hidden="1" outlineLevel="1">
      <c r="A204" s="41"/>
      <c r="B204" s="364"/>
      <c r="C204" s="356"/>
      <c r="D204" s="356"/>
      <c r="E204" s="362"/>
      <c r="F204" s="362"/>
      <c r="G204" s="356"/>
      <c r="H204" s="364"/>
      <c r="I204" s="364"/>
      <c r="J204" s="366"/>
      <c r="K204" s="366"/>
      <c r="L204" s="366"/>
      <c r="M204" s="366"/>
      <c r="N204" s="366"/>
      <c r="O204" s="366"/>
      <c r="P204" s="366"/>
      <c r="Q204" s="366"/>
      <c r="R204" s="369"/>
      <c r="S204" s="369"/>
      <c r="T204" s="366"/>
      <c r="U204" s="427"/>
      <c r="V204" s="427"/>
      <c r="W204" s="372"/>
      <c r="X204" s="373"/>
      <c r="Y204" s="373"/>
      <c r="Z204" s="374"/>
      <c r="AA204" s="374"/>
      <c r="AB204" s="374"/>
      <c r="AC204" s="374"/>
      <c r="AD204" s="369"/>
      <c r="AE204" s="376"/>
      <c r="AF204" s="376"/>
      <c r="AG204" s="376"/>
      <c r="AH204" s="376"/>
      <c r="AI204" s="375"/>
      <c r="AJ204" s="366"/>
      <c r="AK204" s="366"/>
      <c r="AL204" s="366"/>
      <c r="AM204" s="366"/>
      <c r="AN204" s="366"/>
      <c r="AO204" s="366"/>
      <c r="AP204" s="366"/>
      <c r="AQ204" s="366"/>
      <c r="AR204" s="366"/>
      <c r="AS204" s="366"/>
      <c r="AT204" s="366"/>
      <c r="AU204" s="366"/>
      <c r="AV204" s="366"/>
      <c r="AW204" s="366"/>
      <c r="AX204" s="366"/>
      <c r="AY204" s="366"/>
      <c r="AZ204" s="366"/>
      <c r="BA204" s="366"/>
      <c r="BB204" s="366"/>
      <c r="BC204" s="366"/>
      <c r="BD204" s="366"/>
      <c r="BE204" s="366"/>
      <c r="BF204" s="366"/>
      <c r="BG204" s="366"/>
      <c r="BH204" s="366"/>
      <c r="BI204" s="366"/>
      <c r="BJ204" s="366"/>
      <c r="BK204" s="366"/>
      <c r="BL204" s="366"/>
      <c r="BM204" s="366"/>
      <c r="BN204" s="366"/>
      <c r="BO204" s="366"/>
      <c r="BP204" s="366"/>
      <c r="BQ204" s="366"/>
      <c r="BR204" s="366"/>
      <c r="BS204" s="366"/>
      <c r="BT204" s="366"/>
      <c r="BU204" s="366"/>
      <c r="BV204" s="366"/>
      <c r="BW204" s="366"/>
      <c r="BX204" s="366"/>
      <c r="BY204" s="423"/>
      <c r="BZ204" s="423"/>
      <c r="CI204" s="356"/>
      <c r="CJ204" s="356"/>
      <c r="CK204" s="356"/>
      <c r="CP204" s="356"/>
      <c r="CQ204" s="356"/>
      <c r="CR204" s="356"/>
      <c r="CS204" s="356"/>
      <c r="CT204" s="356"/>
      <c r="CU204" s="356"/>
      <c r="CV204" s="356"/>
      <c r="CW204" s="356"/>
      <c r="CX204" s="356"/>
      <c r="CY204" s="356"/>
      <c r="CZ204" s="356"/>
      <c r="DA204" s="356"/>
      <c r="DB204" s="356"/>
      <c r="DC204" s="356"/>
      <c r="DD204" s="356"/>
      <c r="DE204" s="356"/>
      <c r="DF204" s="356"/>
      <c r="DG204" s="356"/>
      <c r="DH204" s="356"/>
      <c r="DI204" s="356"/>
      <c r="DJ204" s="356"/>
      <c r="DK204" s="356"/>
      <c r="DL204" s="356"/>
      <c r="DM204" s="356"/>
      <c r="DN204" s="356"/>
      <c r="DO204" s="356"/>
      <c r="DP204" s="356"/>
      <c r="DQ204" s="356"/>
    </row>
    <row r="205" spans="1:121" hidden="1" outlineLevel="1">
      <c r="A205" s="41"/>
      <c r="B205" s="364"/>
      <c r="C205" s="356"/>
      <c r="D205" s="356"/>
      <c r="E205" s="362"/>
      <c r="F205" s="362"/>
      <c r="G205" s="356"/>
      <c r="H205" s="364"/>
      <c r="I205" s="364"/>
      <c r="J205" s="366"/>
      <c r="K205" s="366"/>
      <c r="L205" s="366"/>
      <c r="M205" s="366"/>
      <c r="N205" s="366"/>
      <c r="O205" s="366"/>
      <c r="P205" s="366"/>
      <c r="Q205" s="366"/>
      <c r="R205" s="369"/>
      <c r="S205" s="369"/>
      <c r="T205" s="366"/>
      <c r="U205" s="427"/>
      <c r="V205" s="427"/>
      <c r="W205" s="372"/>
      <c r="X205" s="373"/>
      <c r="Y205" s="373"/>
      <c r="Z205" s="374"/>
      <c r="AA205" s="374"/>
      <c r="AB205" s="374"/>
      <c r="AC205" s="374"/>
      <c r="AD205" s="369"/>
      <c r="AE205" s="376"/>
      <c r="AF205" s="376"/>
      <c r="AG205" s="376"/>
      <c r="AH205" s="376"/>
      <c r="AI205" s="375"/>
      <c r="AJ205" s="366"/>
      <c r="AK205" s="366"/>
      <c r="AL205" s="366"/>
      <c r="AM205" s="366"/>
      <c r="AN205" s="366"/>
      <c r="AO205" s="366"/>
      <c r="AP205" s="366"/>
      <c r="AQ205" s="366"/>
      <c r="AR205" s="366"/>
      <c r="AS205" s="366"/>
      <c r="AT205" s="366"/>
      <c r="AU205" s="366"/>
      <c r="AV205" s="366"/>
      <c r="AW205" s="366"/>
      <c r="AX205" s="366"/>
      <c r="AY205" s="366"/>
      <c r="AZ205" s="366"/>
      <c r="BA205" s="366"/>
      <c r="BB205" s="366"/>
      <c r="BC205" s="366"/>
      <c r="BD205" s="366"/>
      <c r="BE205" s="366"/>
      <c r="BF205" s="366"/>
      <c r="BG205" s="366"/>
      <c r="BH205" s="366"/>
      <c r="BI205" s="366"/>
      <c r="BJ205" s="366"/>
      <c r="BK205" s="366"/>
      <c r="BL205" s="366"/>
      <c r="BM205" s="366"/>
      <c r="BN205" s="366"/>
      <c r="BO205" s="366"/>
      <c r="BP205" s="366"/>
      <c r="BQ205" s="366"/>
      <c r="BR205" s="366"/>
      <c r="BS205" s="366"/>
      <c r="BT205" s="366"/>
      <c r="BU205" s="366"/>
      <c r="BV205" s="366"/>
      <c r="BW205" s="366"/>
      <c r="BX205" s="366"/>
      <c r="BY205" s="423"/>
      <c r="BZ205" s="423"/>
      <c r="CI205" s="356"/>
      <c r="CJ205" s="356"/>
      <c r="CK205" s="356"/>
      <c r="CP205" s="356"/>
      <c r="CQ205" s="356"/>
      <c r="CR205" s="356"/>
      <c r="CS205" s="356"/>
      <c r="CT205" s="356"/>
      <c r="CU205" s="356"/>
      <c r="CV205" s="356"/>
      <c r="CW205" s="356"/>
      <c r="CX205" s="356"/>
      <c r="CY205" s="356"/>
      <c r="CZ205" s="356"/>
      <c r="DA205" s="356"/>
      <c r="DB205" s="356"/>
      <c r="DC205" s="356"/>
      <c r="DD205" s="356"/>
      <c r="DE205" s="356"/>
      <c r="DF205" s="356"/>
      <c r="DG205" s="356"/>
      <c r="DH205" s="356"/>
      <c r="DI205" s="356"/>
      <c r="DJ205" s="356"/>
      <c r="DK205" s="356"/>
      <c r="DL205" s="356"/>
      <c r="DM205" s="356"/>
      <c r="DN205" s="356"/>
      <c r="DO205" s="356"/>
      <c r="DP205" s="356"/>
      <c r="DQ205" s="356"/>
    </row>
    <row r="206" spans="1:121" hidden="1" outlineLevel="1">
      <c r="A206" s="41"/>
      <c r="B206" s="364"/>
      <c r="C206" s="356"/>
      <c r="D206" s="356"/>
      <c r="E206" s="362"/>
      <c r="F206" s="362"/>
      <c r="G206" s="356"/>
      <c r="H206" s="364"/>
      <c r="I206" s="364"/>
      <c r="J206" s="366"/>
      <c r="K206" s="366"/>
      <c r="L206" s="366"/>
      <c r="M206" s="366"/>
      <c r="N206" s="366"/>
      <c r="O206" s="366"/>
      <c r="P206" s="366"/>
      <c r="Q206" s="366"/>
      <c r="R206" s="369"/>
      <c r="S206" s="369"/>
      <c r="T206" s="366"/>
      <c r="U206" s="427"/>
      <c r="V206" s="427"/>
      <c r="W206" s="372"/>
      <c r="X206" s="373"/>
      <c r="Y206" s="373"/>
      <c r="Z206" s="374"/>
      <c r="AA206" s="374"/>
      <c r="AB206" s="374"/>
      <c r="AC206" s="374"/>
      <c r="AD206" s="369"/>
      <c r="AE206" s="376"/>
      <c r="AF206" s="376"/>
      <c r="AG206" s="376"/>
      <c r="AH206" s="376"/>
      <c r="AI206" s="375"/>
      <c r="AJ206" s="366"/>
      <c r="AK206" s="366"/>
      <c r="AL206" s="366"/>
      <c r="AM206" s="366"/>
      <c r="AN206" s="366"/>
      <c r="AO206" s="366"/>
      <c r="AP206" s="366"/>
      <c r="AQ206" s="366"/>
      <c r="AR206" s="366"/>
      <c r="AS206" s="366"/>
      <c r="AT206" s="366"/>
      <c r="AU206" s="366"/>
      <c r="AV206" s="366"/>
      <c r="AW206" s="366"/>
      <c r="AX206" s="366"/>
      <c r="AY206" s="366"/>
      <c r="AZ206" s="366"/>
      <c r="BA206" s="366"/>
      <c r="BB206" s="366"/>
      <c r="BC206" s="366"/>
      <c r="BD206" s="366"/>
      <c r="BE206" s="366"/>
      <c r="BF206" s="366"/>
      <c r="BG206" s="366"/>
      <c r="BH206" s="366"/>
      <c r="BI206" s="366"/>
      <c r="BJ206" s="366"/>
      <c r="BK206" s="366"/>
      <c r="BL206" s="366"/>
      <c r="BM206" s="366"/>
      <c r="BN206" s="366"/>
      <c r="BO206" s="366"/>
      <c r="BP206" s="366"/>
      <c r="BQ206" s="366"/>
      <c r="BR206" s="366"/>
      <c r="BS206" s="366"/>
      <c r="BT206" s="366"/>
      <c r="BU206" s="366"/>
      <c r="BV206" s="366"/>
      <c r="BW206" s="366"/>
      <c r="BX206" s="366"/>
      <c r="BY206" s="423"/>
      <c r="BZ206" s="423"/>
      <c r="CI206" s="356"/>
      <c r="CJ206" s="356"/>
      <c r="CK206" s="356"/>
      <c r="CP206" s="356"/>
      <c r="CQ206" s="356"/>
      <c r="CR206" s="356"/>
      <c r="CS206" s="356"/>
      <c r="CT206" s="356"/>
      <c r="CU206" s="356"/>
      <c r="CV206" s="356"/>
      <c r="CW206" s="356"/>
      <c r="CX206" s="356"/>
      <c r="CY206" s="356"/>
      <c r="CZ206" s="356"/>
      <c r="DA206" s="356"/>
      <c r="DB206" s="356"/>
      <c r="DC206" s="356"/>
      <c r="DD206" s="356"/>
      <c r="DE206" s="356"/>
      <c r="DF206" s="356"/>
      <c r="DG206" s="356"/>
      <c r="DH206" s="356"/>
      <c r="DI206" s="356"/>
      <c r="DJ206" s="356"/>
      <c r="DK206" s="356"/>
      <c r="DL206" s="356"/>
      <c r="DM206" s="356"/>
      <c r="DN206" s="356"/>
      <c r="DO206" s="356"/>
      <c r="DP206" s="356"/>
      <c r="DQ206" s="356"/>
    </row>
    <row r="207" spans="1:121" hidden="1" outlineLevel="1">
      <c r="A207" s="41"/>
      <c r="B207" s="364"/>
      <c r="C207" s="356"/>
      <c r="D207" s="356"/>
      <c r="E207" s="362"/>
      <c r="F207" s="362"/>
      <c r="G207" s="356"/>
      <c r="H207" s="364"/>
      <c r="I207" s="364"/>
      <c r="J207" s="366"/>
      <c r="K207" s="366"/>
      <c r="L207" s="366"/>
      <c r="M207" s="366"/>
      <c r="N207" s="366"/>
      <c r="O207" s="366"/>
      <c r="P207" s="366"/>
      <c r="Q207" s="366"/>
      <c r="R207" s="369"/>
      <c r="S207" s="369"/>
      <c r="T207" s="366"/>
      <c r="U207" s="427"/>
      <c r="V207" s="427"/>
      <c r="W207" s="372"/>
      <c r="X207" s="373"/>
      <c r="Y207" s="373"/>
      <c r="Z207" s="374"/>
      <c r="AA207" s="374"/>
      <c r="AB207" s="374"/>
      <c r="AC207" s="374"/>
      <c r="AD207" s="369"/>
      <c r="AE207" s="376"/>
      <c r="AF207" s="376"/>
      <c r="AG207" s="376"/>
      <c r="AH207" s="376"/>
      <c r="AI207" s="375"/>
      <c r="AJ207" s="366"/>
      <c r="AK207" s="366"/>
      <c r="AL207" s="366"/>
      <c r="AM207" s="366"/>
      <c r="AN207" s="366"/>
      <c r="AO207" s="366"/>
      <c r="AP207" s="366"/>
      <c r="AQ207" s="366"/>
      <c r="AR207" s="366"/>
      <c r="AS207" s="366"/>
      <c r="AT207" s="366"/>
      <c r="AU207" s="366"/>
      <c r="AV207" s="366"/>
      <c r="AW207" s="366"/>
      <c r="AX207" s="366"/>
      <c r="AY207" s="366"/>
      <c r="AZ207" s="366"/>
      <c r="BA207" s="366"/>
      <c r="BB207" s="366"/>
      <c r="BC207" s="366"/>
      <c r="BD207" s="366"/>
      <c r="BE207" s="366"/>
      <c r="BF207" s="366"/>
      <c r="BG207" s="366"/>
      <c r="BH207" s="366"/>
      <c r="BI207" s="366"/>
      <c r="BJ207" s="366"/>
      <c r="BK207" s="366"/>
      <c r="BL207" s="366"/>
      <c r="BM207" s="366"/>
      <c r="BN207" s="366"/>
      <c r="BO207" s="366"/>
      <c r="BP207" s="366"/>
      <c r="BQ207" s="366"/>
      <c r="BR207" s="366"/>
      <c r="BS207" s="366"/>
      <c r="BT207" s="366"/>
      <c r="BU207" s="366"/>
      <c r="BV207" s="366"/>
      <c r="BW207" s="366"/>
      <c r="BX207" s="366"/>
      <c r="BY207" s="423"/>
      <c r="BZ207" s="423"/>
      <c r="CI207" s="356"/>
      <c r="CJ207" s="356"/>
      <c r="CK207" s="356"/>
      <c r="CP207" s="356"/>
      <c r="CQ207" s="356"/>
      <c r="CR207" s="356"/>
      <c r="CS207" s="356"/>
      <c r="CT207" s="356"/>
      <c r="CU207" s="356"/>
      <c r="CV207" s="356"/>
      <c r="CW207" s="356"/>
      <c r="CX207" s="356"/>
      <c r="CY207" s="356"/>
      <c r="CZ207" s="356"/>
      <c r="DA207" s="356"/>
      <c r="DB207" s="356"/>
      <c r="DC207" s="356"/>
      <c r="DD207" s="356"/>
      <c r="DE207" s="356"/>
      <c r="DF207" s="356"/>
      <c r="DG207" s="356"/>
      <c r="DH207" s="356"/>
      <c r="DI207" s="356"/>
      <c r="DJ207" s="356"/>
      <c r="DK207" s="356"/>
      <c r="DL207" s="356"/>
      <c r="DM207" s="356"/>
      <c r="DN207" s="356"/>
      <c r="DO207" s="356"/>
      <c r="DP207" s="356"/>
      <c r="DQ207" s="356"/>
    </row>
    <row r="208" spans="1:121" hidden="1" outlineLevel="1">
      <c r="A208" s="41"/>
      <c r="B208" s="364"/>
      <c r="C208" s="356"/>
      <c r="D208" s="356"/>
      <c r="E208" s="362"/>
      <c r="F208" s="362"/>
      <c r="G208" s="356"/>
      <c r="H208" s="364"/>
      <c r="I208" s="364"/>
      <c r="J208" s="366"/>
      <c r="K208" s="366"/>
      <c r="L208" s="366"/>
      <c r="M208" s="366"/>
      <c r="N208" s="366"/>
      <c r="O208" s="366"/>
      <c r="P208" s="366"/>
      <c r="Q208" s="366"/>
      <c r="R208" s="369"/>
      <c r="S208" s="369"/>
      <c r="T208" s="366"/>
      <c r="U208" s="427"/>
      <c r="V208" s="427"/>
      <c r="W208" s="372"/>
      <c r="X208" s="373"/>
      <c r="Y208" s="373"/>
      <c r="Z208" s="374"/>
      <c r="AA208" s="374"/>
      <c r="AB208" s="374"/>
      <c r="AC208" s="374"/>
      <c r="AD208" s="369"/>
      <c r="AE208" s="376"/>
      <c r="AF208" s="376"/>
      <c r="AG208" s="376"/>
      <c r="AH208" s="376"/>
      <c r="AI208" s="375"/>
      <c r="AJ208" s="366"/>
      <c r="AK208" s="366"/>
      <c r="AL208" s="366"/>
      <c r="AM208" s="366"/>
      <c r="AN208" s="366"/>
      <c r="AO208" s="366"/>
      <c r="AP208" s="366"/>
      <c r="AQ208" s="366"/>
      <c r="AR208" s="366"/>
      <c r="AS208" s="366"/>
      <c r="AT208" s="366"/>
      <c r="AU208" s="366"/>
      <c r="AV208" s="366"/>
      <c r="AW208" s="366"/>
      <c r="AX208" s="366"/>
      <c r="AY208" s="366"/>
      <c r="AZ208" s="366"/>
      <c r="BA208" s="366"/>
      <c r="BB208" s="366"/>
      <c r="BC208" s="366"/>
      <c r="BD208" s="366"/>
      <c r="BE208" s="366"/>
      <c r="BF208" s="366"/>
      <c r="BG208" s="366"/>
      <c r="BH208" s="366"/>
      <c r="BI208" s="366"/>
      <c r="BJ208" s="366"/>
      <c r="BK208" s="366"/>
      <c r="BL208" s="366"/>
      <c r="BM208" s="366"/>
      <c r="BN208" s="366"/>
      <c r="BO208" s="366"/>
      <c r="BP208" s="366"/>
      <c r="BQ208" s="366"/>
      <c r="BR208" s="366"/>
      <c r="BS208" s="366"/>
      <c r="BT208" s="366"/>
      <c r="BU208" s="366"/>
      <c r="BV208" s="366"/>
      <c r="BW208" s="366"/>
      <c r="BX208" s="366"/>
      <c r="BY208" s="423"/>
      <c r="BZ208" s="423"/>
      <c r="CI208" s="356"/>
      <c r="CJ208" s="356"/>
      <c r="CK208" s="356"/>
      <c r="CP208" s="356"/>
      <c r="CQ208" s="356"/>
      <c r="CR208" s="356"/>
      <c r="CS208" s="356"/>
      <c r="CT208" s="356"/>
      <c r="CU208" s="356"/>
      <c r="CV208" s="356"/>
      <c r="CW208" s="356"/>
      <c r="CX208" s="356"/>
      <c r="CY208" s="356"/>
      <c r="CZ208" s="356"/>
      <c r="DA208" s="356"/>
      <c r="DB208" s="356"/>
      <c r="DC208" s="356"/>
      <c r="DD208" s="356"/>
      <c r="DE208" s="356"/>
      <c r="DF208" s="356"/>
      <c r="DG208" s="356"/>
      <c r="DH208" s="356"/>
      <c r="DI208" s="356"/>
      <c r="DJ208" s="356"/>
      <c r="DK208" s="356"/>
      <c r="DL208" s="356"/>
      <c r="DM208" s="356"/>
      <c r="DN208" s="356"/>
      <c r="DO208" s="356"/>
      <c r="DP208" s="356"/>
      <c r="DQ208" s="356"/>
    </row>
    <row r="209" spans="1:121" hidden="1" outlineLevel="1">
      <c r="A209" s="41"/>
      <c r="B209" s="364"/>
      <c r="C209" s="356"/>
      <c r="D209" s="356"/>
      <c r="E209" s="362"/>
      <c r="F209" s="362"/>
      <c r="G209" s="356"/>
      <c r="H209" s="364"/>
      <c r="I209" s="364"/>
      <c r="J209" s="366"/>
      <c r="K209" s="366"/>
      <c r="L209" s="366"/>
      <c r="M209" s="366"/>
      <c r="N209" s="366"/>
      <c r="O209" s="366"/>
      <c r="P209" s="366"/>
      <c r="Q209" s="366"/>
      <c r="R209" s="369"/>
      <c r="S209" s="369"/>
      <c r="T209" s="366"/>
      <c r="U209" s="427"/>
      <c r="V209" s="427"/>
      <c r="W209" s="372"/>
      <c r="X209" s="373"/>
      <c r="Y209" s="373"/>
      <c r="Z209" s="374"/>
      <c r="AA209" s="374"/>
      <c r="AB209" s="374"/>
      <c r="AC209" s="374"/>
      <c r="AD209" s="369"/>
      <c r="AE209" s="376"/>
      <c r="AF209" s="376"/>
      <c r="AG209" s="376"/>
      <c r="AH209" s="376"/>
      <c r="AI209" s="375"/>
      <c r="AJ209" s="366"/>
      <c r="AK209" s="366"/>
      <c r="AL209" s="366"/>
      <c r="AM209" s="366"/>
      <c r="AN209" s="366"/>
      <c r="AO209" s="366"/>
      <c r="AP209" s="366"/>
      <c r="AQ209" s="366"/>
      <c r="AR209" s="366"/>
      <c r="AS209" s="366"/>
      <c r="AT209" s="366"/>
      <c r="AU209" s="366"/>
      <c r="AV209" s="366"/>
      <c r="AW209" s="366"/>
      <c r="AX209" s="366"/>
      <c r="AY209" s="366"/>
      <c r="AZ209" s="366"/>
      <c r="BA209" s="366"/>
      <c r="BB209" s="366"/>
      <c r="BC209" s="366"/>
      <c r="BD209" s="366"/>
      <c r="BE209" s="366"/>
      <c r="BF209" s="366"/>
      <c r="BG209" s="366"/>
      <c r="BH209" s="366"/>
      <c r="BI209" s="366"/>
      <c r="BJ209" s="366"/>
      <c r="BK209" s="366"/>
      <c r="BL209" s="366"/>
      <c r="BM209" s="366"/>
      <c r="BN209" s="366"/>
      <c r="BO209" s="366"/>
      <c r="BP209" s="366"/>
      <c r="BQ209" s="366"/>
      <c r="BR209" s="366"/>
      <c r="BS209" s="366"/>
      <c r="BT209" s="366"/>
      <c r="BU209" s="366"/>
      <c r="BV209" s="366"/>
      <c r="BW209" s="366"/>
      <c r="BX209" s="366"/>
      <c r="BY209" s="423"/>
      <c r="BZ209" s="423"/>
      <c r="CI209" s="356"/>
      <c r="CJ209" s="356"/>
      <c r="CK209" s="356"/>
      <c r="CP209" s="356"/>
      <c r="CQ209" s="356"/>
      <c r="CR209" s="356"/>
      <c r="CS209" s="356"/>
      <c r="CT209" s="356"/>
      <c r="CU209" s="356"/>
      <c r="CV209" s="356"/>
      <c r="CW209" s="356"/>
      <c r="CX209" s="356"/>
      <c r="CY209" s="356"/>
      <c r="CZ209" s="356"/>
      <c r="DA209" s="356"/>
      <c r="DB209" s="356"/>
      <c r="DC209" s="356"/>
      <c r="DD209" s="356"/>
      <c r="DE209" s="356"/>
      <c r="DF209" s="356"/>
      <c r="DG209" s="356"/>
      <c r="DH209" s="356"/>
      <c r="DI209" s="356"/>
      <c r="DJ209" s="356"/>
      <c r="DK209" s="356"/>
      <c r="DL209" s="356"/>
      <c r="DM209" s="356"/>
      <c r="DN209" s="356"/>
      <c r="DO209" s="356"/>
      <c r="DP209" s="356"/>
      <c r="DQ209" s="356"/>
    </row>
    <row r="210" spans="1:121" hidden="1" outlineLevel="1">
      <c r="A210" s="41"/>
      <c r="B210" s="364"/>
      <c r="C210" s="356"/>
      <c r="D210" s="356"/>
      <c r="E210" s="362"/>
      <c r="F210" s="362"/>
      <c r="G210" s="356"/>
      <c r="H210" s="364"/>
      <c r="I210" s="364"/>
      <c r="J210" s="366"/>
      <c r="K210" s="366"/>
      <c r="L210" s="366"/>
      <c r="M210" s="366"/>
      <c r="N210" s="366"/>
      <c r="O210" s="366"/>
      <c r="P210" s="366"/>
      <c r="Q210" s="366"/>
      <c r="R210" s="369"/>
      <c r="S210" s="369"/>
      <c r="T210" s="366"/>
      <c r="U210" s="427"/>
      <c r="V210" s="427"/>
      <c r="W210" s="372"/>
      <c r="X210" s="373"/>
      <c r="Y210" s="373"/>
      <c r="Z210" s="374"/>
      <c r="AA210" s="374"/>
      <c r="AB210" s="374"/>
      <c r="AC210" s="374"/>
      <c r="AD210" s="369"/>
      <c r="AE210" s="376"/>
      <c r="AF210" s="376"/>
      <c r="AG210" s="376"/>
      <c r="AH210" s="376"/>
      <c r="AI210" s="375"/>
      <c r="AJ210" s="366"/>
      <c r="AK210" s="366"/>
      <c r="AL210" s="366"/>
      <c r="AM210" s="366"/>
      <c r="AN210" s="366"/>
      <c r="AO210" s="366"/>
      <c r="AP210" s="366"/>
      <c r="AQ210" s="366"/>
      <c r="AR210" s="366"/>
      <c r="AS210" s="366"/>
      <c r="AT210" s="366"/>
      <c r="AU210" s="366"/>
      <c r="AV210" s="366"/>
      <c r="AW210" s="366"/>
      <c r="AX210" s="366"/>
      <c r="AY210" s="366"/>
      <c r="AZ210" s="366"/>
      <c r="BA210" s="366"/>
      <c r="BB210" s="366"/>
      <c r="BC210" s="366"/>
      <c r="BD210" s="366"/>
      <c r="BE210" s="366"/>
      <c r="BF210" s="366"/>
      <c r="BG210" s="366"/>
      <c r="BH210" s="366"/>
      <c r="BI210" s="366"/>
      <c r="BJ210" s="366"/>
      <c r="BK210" s="366"/>
      <c r="BL210" s="366"/>
      <c r="BM210" s="366"/>
      <c r="BN210" s="366"/>
      <c r="BO210" s="366"/>
      <c r="BP210" s="366"/>
      <c r="BQ210" s="366"/>
      <c r="BR210" s="366"/>
      <c r="BS210" s="366"/>
      <c r="BT210" s="366"/>
      <c r="BU210" s="366"/>
      <c r="BV210" s="366"/>
      <c r="BW210" s="366"/>
      <c r="BX210" s="366"/>
      <c r="BY210" s="423"/>
      <c r="BZ210" s="423"/>
      <c r="CI210" s="356"/>
      <c r="CJ210" s="356"/>
      <c r="CK210" s="356"/>
      <c r="CP210" s="356"/>
      <c r="CQ210" s="356"/>
      <c r="CR210" s="356"/>
      <c r="CS210" s="356"/>
      <c r="CT210" s="356"/>
      <c r="CU210" s="356"/>
      <c r="CV210" s="356"/>
      <c r="CW210" s="356"/>
      <c r="CX210" s="356"/>
      <c r="CY210" s="356"/>
      <c r="CZ210" s="356"/>
      <c r="DA210" s="356"/>
      <c r="DB210" s="356"/>
      <c r="DC210" s="356"/>
      <c r="DD210" s="356"/>
      <c r="DE210" s="356"/>
      <c r="DF210" s="356"/>
      <c r="DG210" s="356"/>
      <c r="DH210" s="356"/>
      <c r="DI210" s="356"/>
      <c r="DJ210" s="356"/>
      <c r="DK210" s="356"/>
      <c r="DL210" s="356"/>
      <c r="DM210" s="356"/>
      <c r="DN210" s="356"/>
      <c r="DO210" s="356"/>
      <c r="DP210" s="356"/>
      <c r="DQ210" s="356"/>
    </row>
    <row r="211" spans="1:121" hidden="1" outlineLevel="1">
      <c r="A211" s="41"/>
      <c r="B211" s="364"/>
      <c r="C211" s="356"/>
      <c r="D211" s="356"/>
      <c r="E211" s="362"/>
      <c r="F211" s="362"/>
      <c r="G211" s="356"/>
      <c r="H211" s="364"/>
      <c r="I211" s="364"/>
      <c r="J211" s="366"/>
      <c r="K211" s="366"/>
      <c r="L211" s="366"/>
      <c r="M211" s="366"/>
      <c r="N211" s="366"/>
      <c r="O211" s="366"/>
      <c r="P211" s="366"/>
      <c r="Q211" s="366"/>
      <c r="R211" s="369"/>
      <c r="S211" s="369"/>
      <c r="T211" s="366"/>
      <c r="U211" s="427"/>
      <c r="V211" s="427"/>
      <c r="W211" s="372"/>
      <c r="X211" s="373"/>
      <c r="Y211" s="373"/>
      <c r="Z211" s="374"/>
      <c r="AA211" s="374"/>
      <c r="AB211" s="374"/>
      <c r="AC211" s="374"/>
      <c r="AD211" s="369"/>
      <c r="AE211" s="376"/>
      <c r="AF211" s="376"/>
      <c r="AG211" s="376"/>
      <c r="AH211" s="376"/>
      <c r="AI211" s="375"/>
      <c r="AJ211" s="366"/>
      <c r="AK211" s="366"/>
      <c r="AL211" s="366"/>
      <c r="AM211" s="366"/>
      <c r="AN211" s="366"/>
      <c r="AO211" s="366"/>
      <c r="AP211" s="366"/>
      <c r="AQ211" s="366"/>
      <c r="AR211" s="366"/>
      <c r="AS211" s="366"/>
      <c r="AT211" s="366"/>
      <c r="AU211" s="366"/>
      <c r="AV211" s="366"/>
      <c r="AW211" s="366"/>
      <c r="AX211" s="366"/>
      <c r="AY211" s="366"/>
      <c r="AZ211" s="366"/>
      <c r="BA211" s="366"/>
      <c r="BB211" s="366"/>
      <c r="BC211" s="366"/>
      <c r="BD211" s="366"/>
      <c r="BE211" s="366"/>
      <c r="BF211" s="366"/>
      <c r="BG211" s="366"/>
      <c r="BH211" s="366"/>
      <c r="BI211" s="366"/>
      <c r="BJ211" s="366"/>
      <c r="BK211" s="366"/>
      <c r="BL211" s="366"/>
      <c r="BM211" s="366"/>
      <c r="BN211" s="366"/>
      <c r="BO211" s="366"/>
      <c r="BP211" s="366"/>
      <c r="BQ211" s="366"/>
      <c r="BR211" s="366"/>
      <c r="BS211" s="366"/>
      <c r="BT211" s="366"/>
      <c r="BU211" s="366"/>
      <c r="BV211" s="366"/>
      <c r="BW211" s="366"/>
      <c r="BX211" s="366"/>
      <c r="BY211" s="423"/>
      <c r="BZ211" s="423"/>
      <c r="CI211" s="356"/>
      <c r="CJ211" s="356"/>
      <c r="CK211" s="356"/>
      <c r="CP211" s="356"/>
      <c r="CQ211" s="356"/>
      <c r="CR211" s="356"/>
      <c r="CS211" s="356"/>
      <c r="CT211" s="356"/>
      <c r="CU211" s="356"/>
      <c r="CV211" s="356"/>
      <c r="CW211" s="356"/>
      <c r="CX211" s="356"/>
      <c r="CY211" s="356"/>
      <c r="CZ211" s="356"/>
      <c r="DA211" s="356"/>
      <c r="DB211" s="356"/>
      <c r="DC211" s="356"/>
      <c r="DD211" s="356"/>
      <c r="DE211" s="356"/>
      <c r="DF211" s="356"/>
      <c r="DG211" s="356"/>
      <c r="DH211" s="356"/>
      <c r="DI211" s="356"/>
      <c r="DJ211" s="356"/>
      <c r="DK211" s="356"/>
      <c r="DL211" s="356"/>
      <c r="DM211" s="356"/>
      <c r="DN211" s="356"/>
      <c r="DO211" s="356"/>
      <c r="DP211" s="356"/>
      <c r="DQ211" s="356"/>
    </row>
    <row r="212" spans="1:121" hidden="1" outlineLevel="1">
      <c r="A212" s="41"/>
      <c r="B212" s="364"/>
      <c r="C212" s="356"/>
      <c r="D212" s="356"/>
      <c r="E212" s="362"/>
      <c r="F212" s="362"/>
      <c r="G212" s="356"/>
      <c r="H212" s="364"/>
      <c r="I212" s="364"/>
      <c r="J212" s="366"/>
      <c r="K212" s="366"/>
      <c r="L212" s="366"/>
      <c r="M212" s="366"/>
      <c r="N212" s="366"/>
      <c r="O212" s="366"/>
      <c r="P212" s="366"/>
      <c r="Q212" s="366"/>
      <c r="R212" s="369"/>
      <c r="S212" s="369"/>
      <c r="T212" s="366"/>
      <c r="U212" s="427"/>
      <c r="V212" s="427"/>
      <c r="W212" s="372"/>
      <c r="X212" s="373"/>
      <c r="Y212" s="373"/>
      <c r="Z212" s="374"/>
      <c r="AA212" s="374"/>
      <c r="AB212" s="374"/>
      <c r="AC212" s="374"/>
      <c r="AD212" s="369"/>
      <c r="AE212" s="376"/>
      <c r="AF212" s="376"/>
      <c r="AG212" s="376"/>
      <c r="AH212" s="376"/>
      <c r="AI212" s="375"/>
      <c r="AJ212" s="366"/>
      <c r="AK212" s="366"/>
      <c r="AL212" s="366"/>
      <c r="AM212" s="366"/>
      <c r="AN212" s="366"/>
      <c r="AO212" s="366"/>
      <c r="AP212" s="366"/>
      <c r="AQ212" s="366"/>
      <c r="AR212" s="366"/>
      <c r="AS212" s="366"/>
      <c r="AT212" s="366"/>
      <c r="AU212" s="366"/>
      <c r="AV212" s="366"/>
      <c r="AW212" s="366"/>
      <c r="AX212" s="366"/>
      <c r="AY212" s="366"/>
      <c r="AZ212" s="366"/>
      <c r="BA212" s="366"/>
      <c r="BB212" s="366"/>
      <c r="BC212" s="366"/>
      <c r="BD212" s="366"/>
      <c r="BE212" s="366"/>
      <c r="BF212" s="366"/>
      <c r="BG212" s="366"/>
      <c r="BH212" s="366"/>
      <c r="BI212" s="366"/>
      <c r="BJ212" s="366"/>
      <c r="BK212" s="366"/>
      <c r="BL212" s="366"/>
      <c r="BM212" s="366"/>
      <c r="BN212" s="366"/>
      <c r="BO212" s="366"/>
      <c r="BP212" s="366"/>
      <c r="BQ212" s="366"/>
      <c r="BR212" s="366"/>
      <c r="BS212" s="366"/>
      <c r="BT212" s="366"/>
      <c r="BU212" s="366"/>
      <c r="BV212" s="366"/>
      <c r="BW212" s="366"/>
      <c r="BX212" s="366"/>
      <c r="BY212" s="423"/>
      <c r="BZ212" s="423"/>
      <c r="CI212" s="356"/>
      <c r="CJ212" s="356"/>
      <c r="CK212" s="356"/>
      <c r="CP212" s="356"/>
      <c r="CQ212" s="356"/>
      <c r="CR212" s="356"/>
      <c r="CS212" s="356"/>
      <c r="CT212" s="356"/>
      <c r="CU212" s="356"/>
      <c r="CV212" s="356"/>
      <c r="CW212" s="356"/>
      <c r="CX212" s="356"/>
      <c r="CY212" s="356"/>
      <c r="CZ212" s="356"/>
      <c r="DA212" s="356"/>
      <c r="DB212" s="356"/>
      <c r="DC212" s="356"/>
      <c r="DD212" s="356"/>
      <c r="DE212" s="356"/>
      <c r="DF212" s="356"/>
      <c r="DG212" s="356"/>
      <c r="DH212" s="356"/>
      <c r="DI212" s="356"/>
      <c r="DJ212" s="356"/>
      <c r="DK212" s="356"/>
      <c r="DL212" s="356"/>
      <c r="DM212" s="356"/>
      <c r="DN212" s="356"/>
      <c r="DO212" s="356"/>
      <c r="DP212" s="356"/>
      <c r="DQ212" s="356"/>
    </row>
    <row r="213" spans="1:121" hidden="1" outlineLevel="1">
      <c r="A213" s="41"/>
      <c r="B213" s="364"/>
      <c r="C213" s="356"/>
      <c r="D213" s="356"/>
      <c r="E213" s="362"/>
      <c r="F213" s="362"/>
      <c r="G213" s="356"/>
      <c r="H213" s="364"/>
      <c r="I213" s="364"/>
      <c r="J213" s="366"/>
      <c r="K213" s="366"/>
      <c r="L213" s="366"/>
      <c r="M213" s="366"/>
      <c r="N213" s="366"/>
      <c r="O213" s="366"/>
      <c r="P213" s="366"/>
      <c r="Q213" s="366"/>
      <c r="R213" s="369"/>
      <c r="S213" s="369"/>
      <c r="T213" s="366"/>
      <c r="U213" s="427"/>
      <c r="V213" s="427"/>
      <c r="W213" s="372"/>
      <c r="X213" s="373"/>
      <c r="Y213" s="373"/>
      <c r="Z213" s="374"/>
      <c r="AA213" s="374"/>
      <c r="AB213" s="374"/>
      <c r="AC213" s="374"/>
      <c r="AD213" s="369"/>
      <c r="AE213" s="376"/>
      <c r="AF213" s="376"/>
      <c r="AG213" s="376"/>
      <c r="AH213" s="376"/>
      <c r="AI213" s="375"/>
      <c r="AJ213" s="366"/>
      <c r="AK213" s="366"/>
      <c r="AL213" s="366"/>
      <c r="AM213" s="366"/>
      <c r="AN213" s="366"/>
      <c r="AO213" s="366"/>
      <c r="AP213" s="366"/>
      <c r="AQ213" s="366"/>
      <c r="AR213" s="366"/>
      <c r="AS213" s="366"/>
      <c r="AT213" s="366"/>
      <c r="AU213" s="366"/>
      <c r="AV213" s="366"/>
      <c r="AW213" s="366"/>
      <c r="AX213" s="366"/>
      <c r="AY213" s="366"/>
      <c r="AZ213" s="366"/>
      <c r="BA213" s="366"/>
      <c r="BB213" s="366"/>
      <c r="BC213" s="366"/>
      <c r="BD213" s="366"/>
      <c r="BE213" s="366"/>
      <c r="BF213" s="366"/>
      <c r="BG213" s="366"/>
      <c r="BH213" s="366"/>
      <c r="BI213" s="366"/>
      <c r="BJ213" s="366"/>
      <c r="BK213" s="366"/>
      <c r="BL213" s="366"/>
      <c r="BM213" s="366"/>
      <c r="BN213" s="366"/>
      <c r="BO213" s="366"/>
      <c r="BP213" s="366"/>
      <c r="BQ213" s="366"/>
      <c r="BR213" s="366"/>
      <c r="BS213" s="366"/>
      <c r="BT213" s="366"/>
      <c r="BU213" s="366"/>
      <c r="BV213" s="366"/>
      <c r="BW213" s="366"/>
      <c r="BX213" s="366"/>
      <c r="BY213" s="423"/>
      <c r="BZ213" s="423"/>
      <c r="CI213" s="356"/>
      <c r="CJ213" s="356"/>
      <c r="CK213" s="356"/>
      <c r="CP213" s="356"/>
      <c r="CQ213" s="356"/>
      <c r="CR213" s="356"/>
      <c r="CS213" s="356"/>
      <c r="CT213" s="356"/>
      <c r="CU213" s="356"/>
      <c r="CV213" s="356"/>
      <c r="CW213" s="356"/>
      <c r="CX213" s="356"/>
      <c r="CY213" s="356"/>
      <c r="CZ213" s="356"/>
      <c r="DA213" s="356"/>
      <c r="DB213" s="356"/>
      <c r="DC213" s="356"/>
      <c r="DD213" s="356"/>
      <c r="DE213" s="356"/>
      <c r="DF213" s="356"/>
      <c r="DG213" s="356"/>
      <c r="DH213" s="356"/>
      <c r="DI213" s="356"/>
      <c r="DJ213" s="356"/>
      <c r="DK213" s="356"/>
      <c r="DL213" s="356"/>
      <c r="DM213" s="356"/>
      <c r="DN213" s="356"/>
      <c r="DO213" s="356"/>
      <c r="DP213" s="356"/>
      <c r="DQ213" s="356"/>
    </row>
    <row r="214" spans="1:121" hidden="1" outlineLevel="1">
      <c r="A214" s="41"/>
      <c r="B214" s="364"/>
      <c r="C214" s="356"/>
      <c r="D214" s="356"/>
      <c r="E214" s="362"/>
      <c r="F214" s="362"/>
      <c r="G214" s="356"/>
      <c r="H214" s="364"/>
      <c r="I214" s="364"/>
      <c r="J214" s="366"/>
      <c r="K214" s="366"/>
      <c r="L214" s="366"/>
      <c r="M214" s="366"/>
      <c r="N214" s="366"/>
      <c r="O214" s="366"/>
      <c r="P214" s="366"/>
      <c r="Q214" s="366"/>
      <c r="R214" s="369"/>
      <c r="S214" s="369"/>
      <c r="T214" s="366"/>
      <c r="U214" s="427"/>
      <c r="V214" s="427"/>
      <c r="W214" s="372"/>
      <c r="X214" s="373"/>
      <c r="Y214" s="373"/>
      <c r="Z214" s="374"/>
      <c r="AA214" s="374"/>
      <c r="AB214" s="374"/>
      <c r="AC214" s="374"/>
      <c r="AD214" s="369"/>
      <c r="AE214" s="376"/>
      <c r="AF214" s="376"/>
      <c r="AG214" s="376"/>
      <c r="AH214" s="376"/>
      <c r="AI214" s="375"/>
      <c r="AJ214" s="366"/>
      <c r="AK214" s="366"/>
      <c r="AL214" s="366"/>
      <c r="AM214" s="366"/>
      <c r="AN214" s="366"/>
      <c r="AO214" s="366"/>
      <c r="AP214" s="366"/>
      <c r="AQ214" s="366"/>
      <c r="AR214" s="366"/>
      <c r="AS214" s="366"/>
      <c r="AT214" s="366"/>
      <c r="AU214" s="366"/>
      <c r="AV214" s="366"/>
      <c r="AW214" s="366"/>
      <c r="AX214" s="366"/>
      <c r="AY214" s="366"/>
      <c r="AZ214" s="366"/>
      <c r="BA214" s="366"/>
      <c r="BB214" s="366"/>
      <c r="BC214" s="366"/>
      <c r="BD214" s="366"/>
      <c r="BE214" s="366"/>
      <c r="BF214" s="366"/>
      <c r="BG214" s="366"/>
      <c r="BH214" s="366"/>
      <c r="BI214" s="366"/>
      <c r="BJ214" s="366"/>
      <c r="BK214" s="366"/>
      <c r="BL214" s="366"/>
      <c r="BM214" s="366"/>
      <c r="BN214" s="366"/>
      <c r="BO214" s="366"/>
      <c r="BP214" s="366"/>
      <c r="BQ214" s="366"/>
      <c r="BR214" s="366"/>
      <c r="BS214" s="366"/>
      <c r="BT214" s="366"/>
      <c r="BU214" s="366"/>
      <c r="BV214" s="366"/>
      <c r="BW214" s="366"/>
      <c r="BX214" s="366"/>
      <c r="BY214" s="423"/>
      <c r="BZ214" s="423"/>
      <c r="CI214" s="356"/>
      <c r="CJ214" s="356"/>
      <c r="CK214" s="356"/>
      <c r="CP214" s="356"/>
      <c r="CQ214" s="356"/>
      <c r="CR214" s="356"/>
      <c r="CS214" s="356"/>
      <c r="CT214" s="356"/>
      <c r="CU214" s="356"/>
      <c r="CV214" s="356"/>
      <c r="CW214" s="356"/>
      <c r="CX214" s="356"/>
      <c r="CY214" s="356"/>
      <c r="CZ214" s="356"/>
      <c r="DA214" s="356"/>
      <c r="DB214" s="356"/>
      <c r="DC214" s="356"/>
      <c r="DD214" s="356"/>
      <c r="DE214" s="356"/>
      <c r="DF214" s="356"/>
      <c r="DG214" s="356"/>
      <c r="DH214" s="356"/>
      <c r="DI214" s="356"/>
      <c r="DJ214" s="356"/>
      <c r="DK214" s="356"/>
      <c r="DL214" s="356"/>
      <c r="DM214" s="356"/>
      <c r="DN214" s="356"/>
      <c r="DO214" s="356"/>
      <c r="DP214" s="356"/>
      <c r="DQ214" s="356"/>
    </row>
    <row r="215" spans="1:121" hidden="1" outlineLevel="1">
      <c r="A215" s="41"/>
      <c r="B215" s="364"/>
      <c r="C215" s="356"/>
      <c r="D215" s="356"/>
      <c r="E215" s="362"/>
      <c r="F215" s="362"/>
      <c r="G215" s="356"/>
      <c r="H215" s="364"/>
      <c r="I215" s="364"/>
      <c r="J215" s="366"/>
      <c r="K215" s="366"/>
      <c r="L215" s="366"/>
      <c r="M215" s="366"/>
      <c r="N215" s="366"/>
      <c r="O215" s="366"/>
      <c r="P215" s="366"/>
      <c r="Q215" s="366"/>
      <c r="R215" s="369"/>
      <c r="S215" s="369"/>
      <c r="T215" s="366"/>
      <c r="U215" s="427"/>
      <c r="V215" s="427"/>
      <c r="W215" s="372"/>
      <c r="X215" s="373"/>
      <c r="Y215" s="373"/>
      <c r="Z215" s="374"/>
      <c r="AA215" s="374"/>
      <c r="AB215" s="374"/>
      <c r="AC215" s="374"/>
      <c r="AD215" s="369"/>
      <c r="AE215" s="376"/>
      <c r="AF215" s="376"/>
      <c r="AG215" s="376"/>
      <c r="AH215" s="376"/>
      <c r="AI215" s="375"/>
      <c r="AJ215" s="366"/>
      <c r="AK215" s="366"/>
      <c r="AL215" s="366"/>
      <c r="AM215" s="366"/>
      <c r="AN215" s="366"/>
      <c r="AO215" s="366"/>
      <c r="AP215" s="366"/>
      <c r="AQ215" s="366"/>
      <c r="AR215" s="366"/>
      <c r="AS215" s="366"/>
      <c r="AT215" s="366"/>
      <c r="AU215" s="366"/>
      <c r="AV215" s="366"/>
      <c r="AW215" s="366"/>
      <c r="AX215" s="366"/>
      <c r="AY215" s="366"/>
      <c r="AZ215" s="366"/>
      <c r="BA215" s="366"/>
      <c r="BB215" s="366"/>
      <c r="BC215" s="366"/>
      <c r="BD215" s="366"/>
      <c r="BE215" s="366"/>
      <c r="BF215" s="366"/>
      <c r="BG215" s="366"/>
      <c r="BH215" s="366"/>
      <c r="BI215" s="366"/>
      <c r="BJ215" s="366"/>
      <c r="BK215" s="366"/>
      <c r="BL215" s="366"/>
      <c r="BM215" s="366"/>
      <c r="BN215" s="366"/>
      <c r="BO215" s="366"/>
      <c r="BP215" s="366"/>
      <c r="BQ215" s="366"/>
      <c r="BR215" s="366"/>
      <c r="BS215" s="366"/>
      <c r="BT215" s="366"/>
      <c r="BU215" s="366"/>
      <c r="BV215" s="366"/>
      <c r="BW215" s="366"/>
      <c r="BX215" s="366"/>
      <c r="BY215" s="423"/>
      <c r="BZ215" s="423"/>
      <c r="CI215" s="356"/>
      <c r="CJ215" s="356"/>
      <c r="CK215" s="356"/>
      <c r="CP215" s="356"/>
      <c r="CQ215" s="356"/>
      <c r="CR215" s="356"/>
      <c r="CS215" s="356"/>
      <c r="CT215" s="356"/>
      <c r="CU215" s="356"/>
      <c r="CV215" s="356"/>
      <c r="CW215" s="356"/>
      <c r="CX215" s="356"/>
      <c r="CY215" s="356"/>
      <c r="CZ215" s="356"/>
      <c r="DA215" s="356"/>
      <c r="DB215" s="356"/>
      <c r="DC215" s="356"/>
      <c r="DD215" s="356"/>
      <c r="DE215" s="356"/>
      <c r="DF215" s="356"/>
      <c r="DG215" s="356"/>
      <c r="DH215" s="356"/>
      <c r="DI215" s="356"/>
      <c r="DJ215" s="356"/>
      <c r="DK215" s="356"/>
      <c r="DL215" s="356"/>
      <c r="DM215" s="356"/>
      <c r="DN215" s="356"/>
      <c r="DO215" s="356"/>
      <c r="DP215" s="356"/>
      <c r="DQ215" s="356"/>
    </row>
    <row r="216" spans="1:121" hidden="1" outlineLevel="1">
      <c r="A216" s="41"/>
      <c r="B216" s="364"/>
      <c r="C216" s="356"/>
      <c r="D216" s="356"/>
      <c r="E216" s="362"/>
      <c r="F216" s="362"/>
      <c r="G216" s="356"/>
      <c r="H216" s="364"/>
      <c r="I216" s="364"/>
      <c r="J216" s="366"/>
      <c r="K216" s="366"/>
      <c r="L216" s="366"/>
      <c r="M216" s="366"/>
      <c r="N216" s="366"/>
      <c r="O216" s="366"/>
      <c r="P216" s="366"/>
      <c r="Q216" s="366"/>
      <c r="R216" s="369"/>
      <c r="S216" s="369"/>
      <c r="T216" s="366"/>
      <c r="U216" s="427"/>
      <c r="V216" s="427"/>
      <c r="W216" s="372"/>
      <c r="X216" s="373"/>
      <c r="Y216" s="373"/>
      <c r="Z216" s="374"/>
      <c r="AA216" s="374"/>
      <c r="AB216" s="374"/>
      <c r="AC216" s="374"/>
      <c r="AD216" s="369"/>
      <c r="AE216" s="376"/>
      <c r="AF216" s="376"/>
      <c r="AG216" s="376"/>
      <c r="AH216" s="376"/>
      <c r="AI216" s="375"/>
      <c r="AJ216" s="366"/>
      <c r="AK216" s="366"/>
      <c r="AL216" s="366"/>
      <c r="AM216" s="366"/>
      <c r="AN216" s="366"/>
      <c r="AO216" s="366"/>
      <c r="AP216" s="366"/>
      <c r="AQ216" s="366"/>
      <c r="AR216" s="366"/>
      <c r="AS216" s="366"/>
      <c r="AT216" s="366"/>
      <c r="AU216" s="366"/>
      <c r="AV216" s="366"/>
      <c r="AW216" s="366"/>
      <c r="AX216" s="366"/>
      <c r="AY216" s="366"/>
      <c r="AZ216" s="366"/>
      <c r="BA216" s="366"/>
      <c r="BB216" s="366"/>
      <c r="BC216" s="366"/>
      <c r="BD216" s="366"/>
      <c r="BE216" s="366"/>
      <c r="BF216" s="366"/>
      <c r="BG216" s="366"/>
      <c r="BH216" s="366"/>
      <c r="BI216" s="366"/>
      <c r="BJ216" s="366"/>
      <c r="BK216" s="366"/>
      <c r="BL216" s="366"/>
      <c r="BM216" s="366"/>
      <c r="BN216" s="366"/>
      <c r="BO216" s="366"/>
      <c r="BP216" s="366"/>
      <c r="BQ216" s="366"/>
      <c r="BR216" s="366"/>
      <c r="BS216" s="366"/>
      <c r="BT216" s="366"/>
      <c r="BU216" s="366"/>
      <c r="BV216" s="366"/>
      <c r="BW216" s="366"/>
      <c r="BX216" s="366"/>
      <c r="BY216" s="423"/>
      <c r="BZ216" s="423"/>
      <c r="CI216" s="356"/>
      <c r="CJ216" s="356"/>
      <c r="CK216" s="356"/>
      <c r="CP216" s="356"/>
      <c r="CQ216" s="356"/>
      <c r="CR216" s="356"/>
      <c r="CS216" s="356"/>
      <c r="CT216" s="356"/>
      <c r="CU216" s="356"/>
      <c r="CV216" s="356"/>
      <c r="CW216" s="356"/>
      <c r="CX216" s="356"/>
      <c r="CY216" s="356"/>
      <c r="CZ216" s="356"/>
      <c r="DA216" s="356"/>
      <c r="DB216" s="356"/>
      <c r="DC216" s="356"/>
      <c r="DD216" s="356"/>
      <c r="DE216" s="356"/>
      <c r="DF216" s="356"/>
      <c r="DG216" s="356"/>
      <c r="DH216" s="356"/>
      <c r="DI216" s="356"/>
      <c r="DJ216" s="356"/>
      <c r="DK216" s="356"/>
      <c r="DL216" s="356"/>
      <c r="DM216" s="356"/>
      <c r="DN216" s="356"/>
      <c r="DO216" s="356"/>
      <c r="DP216" s="356"/>
      <c r="DQ216" s="356"/>
    </row>
    <row r="217" spans="1:121" hidden="1" outlineLevel="1">
      <c r="A217" s="41"/>
      <c r="B217" s="364"/>
      <c r="C217" s="356"/>
      <c r="D217" s="356"/>
      <c r="E217" s="362"/>
      <c r="F217" s="362"/>
      <c r="G217" s="356"/>
      <c r="H217" s="364"/>
      <c r="I217" s="364"/>
      <c r="J217" s="366"/>
      <c r="K217" s="366"/>
      <c r="L217" s="366"/>
      <c r="M217" s="366"/>
      <c r="N217" s="366"/>
      <c r="O217" s="366"/>
      <c r="P217" s="366"/>
      <c r="Q217" s="366"/>
      <c r="R217" s="369"/>
      <c r="S217" s="369"/>
      <c r="T217" s="366"/>
      <c r="U217" s="427"/>
      <c r="V217" s="427"/>
      <c r="W217" s="372"/>
      <c r="X217" s="373"/>
      <c r="Y217" s="373"/>
      <c r="Z217" s="374"/>
      <c r="AA217" s="374"/>
      <c r="AB217" s="374"/>
      <c r="AC217" s="374"/>
      <c r="AD217" s="369"/>
      <c r="AE217" s="376"/>
      <c r="AF217" s="376"/>
      <c r="AG217" s="376"/>
      <c r="AH217" s="376"/>
      <c r="AI217" s="375"/>
      <c r="AJ217" s="366"/>
      <c r="AK217" s="366"/>
      <c r="AL217" s="366"/>
      <c r="AM217" s="366"/>
      <c r="AN217" s="366"/>
      <c r="AO217" s="366"/>
      <c r="AP217" s="366"/>
      <c r="AQ217" s="366"/>
      <c r="AR217" s="366"/>
      <c r="AS217" s="366"/>
      <c r="AT217" s="366"/>
      <c r="AU217" s="366"/>
      <c r="AV217" s="366"/>
      <c r="AW217" s="366"/>
      <c r="AX217" s="366"/>
      <c r="AY217" s="366"/>
      <c r="AZ217" s="366"/>
      <c r="BA217" s="366"/>
      <c r="BB217" s="366"/>
      <c r="BC217" s="366"/>
      <c r="BD217" s="366"/>
      <c r="BE217" s="366"/>
      <c r="BF217" s="366"/>
      <c r="BG217" s="366"/>
      <c r="BH217" s="366"/>
      <c r="BI217" s="366"/>
      <c r="BJ217" s="366"/>
      <c r="BK217" s="366"/>
      <c r="BL217" s="366"/>
      <c r="BM217" s="366"/>
      <c r="BN217" s="366"/>
      <c r="BO217" s="366"/>
      <c r="BP217" s="366"/>
      <c r="BQ217" s="366"/>
      <c r="BR217" s="366"/>
      <c r="BS217" s="366"/>
      <c r="BT217" s="366"/>
      <c r="BU217" s="366"/>
      <c r="BV217" s="366"/>
      <c r="BW217" s="366"/>
      <c r="BX217" s="366"/>
      <c r="BY217" s="423"/>
      <c r="BZ217" s="423"/>
      <c r="CI217" s="356"/>
      <c r="CJ217" s="356"/>
      <c r="CK217" s="356"/>
      <c r="CP217" s="356"/>
      <c r="CQ217" s="356"/>
      <c r="CR217" s="356"/>
      <c r="CS217" s="356"/>
      <c r="CT217" s="356"/>
      <c r="CU217" s="356"/>
      <c r="CV217" s="356"/>
      <c r="CW217" s="356"/>
      <c r="CX217" s="356"/>
      <c r="CY217" s="356"/>
      <c r="CZ217" s="356"/>
      <c r="DA217" s="356"/>
      <c r="DB217" s="356"/>
      <c r="DC217" s="356"/>
      <c r="DD217" s="356"/>
      <c r="DE217" s="356"/>
      <c r="DF217" s="356"/>
      <c r="DG217" s="356"/>
      <c r="DH217" s="356"/>
      <c r="DI217" s="356"/>
      <c r="DJ217" s="356"/>
      <c r="DK217" s="356"/>
      <c r="DL217" s="356"/>
      <c r="DM217" s="356"/>
      <c r="DN217" s="356"/>
      <c r="DO217" s="356"/>
      <c r="DP217" s="356"/>
      <c r="DQ217" s="356"/>
    </row>
    <row r="218" spans="1:121" hidden="1" outlineLevel="1">
      <c r="A218" s="41"/>
      <c r="B218" s="364"/>
      <c r="C218" s="356"/>
      <c r="D218" s="356"/>
      <c r="E218" s="362"/>
      <c r="F218" s="362"/>
      <c r="G218" s="356"/>
      <c r="H218" s="364"/>
      <c r="I218" s="364"/>
      <c r="J218" s="366"/>
      <c r="K218" s="366"/>
      <c r="L218" s="366"/>
      <c r="M218" s="366"/>
      <c r="N218" s="366"/>
      <c r="O218" s="366"/>
      <c r="P218" s="366"/>
      <c r="Q218" s="366"/>
      <c r="R218" s="369"/>
      <c r="S218" s="369"/>
      <c r="T218" s="366"/>
      <c r="U218" s="427"/>
      <c r="V218" s="427"/>
      <c r="W218" s="372"/>
      <c r="X218" s="373"/>
      <c r="Y218" s="373"/>
      <c r="Z218" s="374"/>
      <c r="AA218" s="374"/>
      <c r="AB218" s="374"/>
      <c r="AC218" s="374"/>
      <c r="AD218" s="369"/>
      <c r="AE218" s="376"/>
      <c r="AF218" s="376"/>
      <c r="AG218" s="376"/>
      <c r="AH218" s="376"/>
      <c r="AI218" s="375"/>
      <c r="AJ218" s="366"/>
      <c r="AK218" s="366"/>
      <c r="AL218" s="366"/>
      <c r="AM218" s="366"/>
      <c r="AN218" s="366"/>
      <c r="AO218" s="366"/>
      <c r="AP218" s="366"/>
      <c r="AQ218" s="366"/>
      <c r="AR218" s="366"/>
      <c r="AS218" s="366"/>
      <c r="AT218" s="366"/>
      <c r="AU218" s="366"/>
      <c r="AV218" s="366"/>
      <c r="AW218" s="366"/>
      <c r="AX218" s="366"/>
      <c r="AY218" s="366"/>
      <c r="AZ218" s="366"/>
      <c r="BA218" s="366"/>
      <c r="BB218" s="366"/>
      <c r="BC218" s="366"/>
      <c r="BD218" s="366"/>
      <c r="BE218" s="366"/>
      <c r="BF218" s="366"/>
      <c r="BG218" s="366"/>
      <c r="BH218" s="366"/>
      <c r="BI218" s="366"/>
      <c r="BJ218" s="366"/>
      <c r="BK218" s="366"/>
      <c r="BL218" s="366"/>
      <c r="BM218" s="366"/>
      <c r="BN218" s="366"/>
      <c r="BO218" s="366"/>
      <c r="BP218" s="366"/>
      <c r="BQ218" s="366"/>
      <c r="BR218" s="366"/>
      <c r="BS218" s="366"/>
      <c r="BT218" s="366"/>
      <c r="BU218" s="366"/>
      <c r="BV218" s="366"/>
      <c r="BW218" s="366"/>
      <c r="BX218" s="366"/>
      <c r="BY218" s="423"/>
      <c r="BZ218" s="423"/>
      <c r="CI218" s="356"/>
      <c r="CJ218" s="356"/>
      <c r="CK218" s="356"/>
      <c r="CP218" s="356"/>
      <c r="CQ218" s="356"/>
      <c r="CR218" s="356"/>
      <c r="CS218" s="356"/>
      <c r="CT218" s="356"/>
      <c r="CU218" s="356"/>
      <c r="CV218" s="356"/>
      <c r="CW218" s="356"/>
      <c r="CX218" s="356"/>
      <c r="CY218" s="356"/>
      <c r="CZ218" s="356"/>
      <c r="DA218" s="356"/>
      <c r="DB218" s="356"/>
      <c r="DC218" s="356"/>
      <c r="DD218" s="356"/>
      <c r="DE218" s="356"/>
      <c r="DF218" s="356"/>
      <c r="DG218" s="356"/>
      <c r="DH218" s="356"/>
      <c r="DI218" s="356"/>
      <c r="DJ218" s="356"/>
      <c r="DK218" s="356"/>
      <c r="DL218" s="356"/>
      <c r="DM218" s="356"/>
      <c r="DN218" s="356"/>
      <c r="DO218" s="356"/>
      <c r="DP218" s="356"/>
      <c r="DQ218" s="356"/>
    </row>
    <row r="219" spans="1:121" hidden="1" outlineLevel="1">
      <c r="A219" s="41"/>
      <c r="B219" s="364"/>
      <c r="C219" s="356"/>
      <c r="D219" s="356"/>
      <c r="E219" s="362"/>
      <c r="F219" s="362"/>
      <c r="G219" s="356"/>
      <c r="H219" s="364"/>
      <c r="I219" s="364"/>
      <c r="J219" s="366"/>
      <c r="K219" s="366"/>
      <c r="L219" s="366"/>
      <c r="M219" s="366"/>
      <c r="N219" s="366"/>
      <c r="O219" s="366"/>
      <c r="P219" s="366"/>
      <c r="Q219" s="366"/>
      <c r="R219" s="369"/>
      <c r="S219" s="369"/>
      <c r="T219" s="366"/>
      <c r="U219" s="427"/>
      <c r="V219" s="427"/>
      <c r="W219" s="372"/>
      <c r="X219" s="373"/>
      <c r="Y219" s="373"/>
      <c r="Z219" s="374"/>
      <c r="AA219" s="374"/>
      <c r="AB219" s="374"/>
      <c r="AC219" s="374"/>
      <c r="AD219" s="369"/>
      <c r="AE219" s="376"/>
      <c r="AF219" s="376"/>
      <c r="AG219" s="376"/>
      <c r="AH219" s="376"/>
      <c r="AI219" s="375"/>
      <c r="AJ219" s="366"/>
      <c r="AK219" s="366"/>
      <c r="AL219" s="366"/>
      <c r="AM219" s="366"/>
      <c r="AN219" s="366"/>
      <c r="AO219" s="366"/>
      <c r="AP219" s="366"/>
      <c r="AQ219" s="366"/>
      <c r="AR219" s="366"/>
      <c r="AS219" s="366"/>
      <c r="AT219" s="366"/>
      <c r="AU219" s="366"/>
      <c r="AV219" s="366"/>
      <c r="AW219" s="366"/>
      <c r="AX219" s="366"/>
      <c r="AY219" s="366"/>
      <c r="AZ219" s="366"/>
      <c r="BA219" s="366"/>
      <c r="BB219" s="366"/>
      <c r="BC219" s="366"/>
      <c r="BD219" s="366"/>
      <c r="BE219" s="366"/>
      <c r="BF219" s="366"/>
      <c r="BG219" s="366"/>
      <c r="BH219" s="366"/>
      <c r="BI219" s="366"/>
      <c r="BJ219" s="366"/>
      <c r="BK219" s="366"/>
      <c r="BL219" s="366"/>
      <c r="BM219" s="366"/>
      <c r="BN219" s="366"/>
      <c r="BO219" s="366"/>
      <c r="BP219" s="366"/>
      <c r="BQ219" s="366"/>
      <c r="BR219" s="366"/>
      <c r="BS219" s="366"/>
      <c r="BT219" s="366"/>
      <c r="BU219" s="366"/>
      <c r="BV219" s="366"/>
      <c r="BW219" s="366"/>
      <c r="BX219" s="366"/>
      <c r="BY219" s="423"/>
      <c r="BZ219" s="423"/>
      <c r="CI219" s="356"/>
      <c r="CJ219" s="356"/>
      <c r="CK219" s="356"/>
      <c r="CP219" s="356"/>
      <c r="CQ219" s="356"/>
      <c r="CR219" s="356"/>
      <c r="CS219" s="356"/>
      <c r="CT219" s="356"/>
      <c r="CU219" s="356"/>
      <c r="CV219" s="356"/>
      <c r="CW219" s="356"/>
      <c r="CX219" s="356"/>
      <c r="CY219" s="356"/>
      <c r="CZ219" s="356"/>
      <c r="DA219" s="356"/>
      <c r="DB219" s="356"/>
      <c r="DC219" s="356"/>
      <c r="DD219" s="356"/>
      <c r="DE219" s="356"/>
      <c r="DF219" s="356"/>
      <c r="DG219" s="356"/>
      <c r="DH219" s="356"/>
      <c r="DI219" s="356"/>
      <c r="DJ219" s="356"/>
      <c r="DK219" s="356"/>
      <c r="DL219" s="356"/>
      <c r="DM219" s="356"/>
      <c r="DN219" s="356"/>
      <c r="DO219" s="356"/>
      <c r="DP219" s="356"/>
      <c r="DQ219" s="356"/>
    </row>
    <row r="220" spans="1:121" hidden="1" outlineLevel="1">
      <c r="A220" s="41"/>
      <c r="B220" s="364"/>
      <c r="C220" s="356"/>
      <c r="D220" s="356"/>
      <c r="E220" s="362"/>
      <c r="F220" s="362"/>
      <c r="G220" s="356"/>
      <c r="H220" s="364"/>
      <c r="I220" s="364"/>
      <c r="J220" s="366"/>
      <c r="K220" s="366"/>
      <c r="L220" s="366"/>
      <c r="M220" s="366"/>
      <c r="N220" s="366"/>
      <c r="O220" s="366"/>
      <c r="P220" s="366"/>
      <c r="Q220" s="366"/>
      <c r="R220" s="369"/>
      <c r="S220" s="369"/>
      <c r="T220" s="366"/>
      <c r="U220" s="427"/>
      <c r="V220" s="427"/>
      <c r="W220" s="372"/>
      <c r="X220" s="373"/>
      <c r="Y220" s="373"/>
      <c r="Z220" s="374"/>
      <c r="AA220" s="374"/>
      <c r="AB220" s="374"/>
      <c r="AC220" s="374"/>
      <c r="AD220" s="369"/>
      <c r="AE220" s="376"/>
      <c r="AF220" s="376"/>
      <c r="AG220" s="376"/>
      <c r="AH220" s="376"/>
      <c r="AI220" s="375"/>
      <c r="AJ220" s="366"/>
      <c r="AK220" s="366"/>
      <c r="AL220" s="366"/>
      <c r="AM220" s="366"/>
      <c r="AN220" s="366"/>
      <c r="AO220" s="366"/>
      <c r="AP220" s="366"/>
      <c r="AQ220" s="366"/>
      <c r="AR220" s="366"/>
      <c r="AS220" s="366"/>
      <c r="AT220" s="366"/>
      <c r="AU220" s="366"/>
      <c r="AV220" s="366"/>
      <c r="AW220" s="366"/>
      <c r="AX220" s="366"/>
      <c r="AY220" s="366"/>
      <c r="AZ220" s="366"/>
      <c r="BA220" s="366"/>
      <c r="BB220" s="366"/>
      <c r="BC220" s="366"/>
      <c r="BD220" s="366"/>
      <c r="BE220" s="366"/>
      <c r="BF220" s="366"/>
      <c r="BG220" s="366"/>
      <c r="BH220" s="366"/>
      <c r="BI220" s="366"/>
      <c r="BJ220" s="366"/>
      <c r="BK220" s="366"/>
      <c r="BL220" s="366"/>
      <c r="BM220" s="366"/>
      <c r="BN220" s="366"/>
      <c r="BO220" s="366"/>
      <c r="BP220" s="366"/>
      <c r="BQ220" s="366"/>
      <c r="BR220" s="366"/>
      <c r="BS220" s="366"/>
      <c r="BT220" s="366"/>
      <c r="BU220" s="366"/>
      <c r="BV220" s="366"/>
      <c r="BW220" s="366"/>
      <c r="BX220" s="366"/>
      <c r="BY220" s="423"/>
      <c r="BZ220" s="423"/>
      <c r="CI220" s="356"/>
      <c r="CJ220" s="356"/>
      <c r="CK220" s="356"/>
      <c r="CP220" s="356"/>
      <c r="CQ220" s="356"/>
      <c r="CR220" s="356"/>
      <c r="CS220" s="356"/>
      <c r="CT220" s="356"/>
      <c r="CU220" s="356"/>
      <c r="CV220" s="356"/>
      <c r="CW220" s="356"/>
      <c r="CX220" s="356"/>
      <c r="CY220" s="356"/>
      <c r="CZ220" s="356"/>
      <c r="DA220" s="356"/>
      <c r="DB220" s="356"/>
      <c r="DC220" s="356"/>
      <c r="DD220" s="356"/>
      <c r="DE220" s="356"/>
      <c r="DF220" s="356"/>
      <c r="DG220" s="356"/>
      <c r="DH220" s="356"/>
      <c r="DI220" s="356"/>
      <c r="DJ220" s="356"/>
      <c r="DK220" s="356"/>
      <c r="DL220" s="356"/>
      <c r="DM220" s="356"/>
      <c r="DN220" s="356"/>
      <c r="DO220" s="356"/>
      <c r="DP220" s="356"/>
      <c r="DQ220" s="356"/>
    </row>
    <row r="221" spans="1:121" hidden="1" outlineLevel="1">
      <c r="A221" s="41"/>
      <c r="B221" s="364"/>
      <c r="C221" s="356"/>
      <c r="D221" s="356"/>
      <c r="E221" s="362"/>
      <c r="F221" s="362"/>
      <c r="G221" s="356"/>
      <c r="H221" s="364"/>
      <c r="I221" s="364"/>
      <c r="J221" s="366"/>
      <c r="K221" s="366"/>
      <c r="L221" s="366"/>
      <c r="M221" s="366"/>
      <c r="N221" s="366"/>
      <c r="O221" s="366"/>
      <c r="P221" s="366"/>
      <c r="Q221" s="366"/>
      <c r="R221" s="369"/>
      <c r="S221" s="369"/>
      <c r="T221" s="366"/>
      <c r="U221" s="427"/>
      <c r="V221" s="427"/>
      <c r="W221" s="372"/>
      <c r="X221" s="373"/>
      <c r="Y221" s="373"/>
      <c r="Z221" s="374"/>
      <c r="AA221" s="374"/>
      <c r="AB221" s="374"/>
      <c r="AC221" s="374"/>
      <c r="AD221" s="369"/>
      <c r="AE221" s="376"/>
      <c r="AF221" s="376"/>
      <c r="AG221" s="376"/>
      <c r="AH221" s="376"/>
      <c r="AI221" s="375"/>
      <c r="AJ221" s="366"/>
      <c r="AK221" s="366"/>
      <c r="AL221" s="366"/>
      <c r="AM221" s="366"/>
      <c r="AN221" s="366"/>
      <c r="AO221" s="366"/>
      <c r="AP221" s="366"/>
      <c r="AQ221" s="366"/>
      <c r="AR221" s="366"/>
      <c r="AS221" s="366"/>
      <c r="AT221" s="366"/>
      <c r="AU221" s="366"/>
      <c r="AV221" s="366"/>
      <c r="AW221" s="366"/>
      <c r="AX221" s="366"/>
      <c r="AY221" s="366"/>
      <c r="AZ221" s="366"/>
      <c r="BA221" s="366"/>
      <c r="BB221" s="366"/>
      <c r="BC221" s="366"/>
      <c r="BD221" s="366"/>
      <c r="BE221" s="366"/>
      <c r="BF221" s="366"/>
      <c r="BG221" s="366"/>
      <c r="BH221" s="366"/>
      <c r="BI221" s="366"/>
      <c r="BJ221" s="366"/>
      <c r="BK221" s="366"/>
      <c r="BL221" s="366"/>
      <c r="BM221" s="366"/>
      <c r="BN221" s="366"/>
      <c r="BO221" s="366"/>
      <c r="BP221" s="366"/>
      <c r="BQ221" s="366"/>
      <c r="BR221" s="366"/>
      <c r="BS221" s="366"/>
      <c r="BT221" s="366"/>
      <c r="BU221" s="366"/>
      <c r="BV221" s="366"/>
      <c r="BW221" s="366"/>
      <c r="BX221" s="366"/>
      <c r="BY221" s="423"/>
      <c r="BZ221" s="423"/>
      <c r="CI221" s="356"/>
      <c r="CJ221" s="356"/>
      <c r="CK221" s="356"/>
      <c r="CP221" s="356"/>
      <c r="CQ221" s="356"/>
      <c r="CR221" s="356"/>
      <c r="CS221" s="356"/>
      <c r="CT221" s="356"/>
      <c r="CU221" s="356"/>
      <c r="CV221" s="356"/>
      <c r="CW221" s="356"/>
      <c r="CX221" s="356"/>
      <c r="CY221" s="356"/>
      <c r="CZ221" s="356"/>
      <c r="DA221" s="356"/>
      <c r="DB221" s="356"/>
      <c r="DC221" s="356"/>
      <c r="DD221" s="356"/>
      <c r="DE221" s="356"/>
      <c r="DF221" s="356"/>
      <c r="DG221" s="356"/>
      <c r="DH221" s="356"/>
      <c r="DI221" s="356"/>
      <c r="DJ221" s="356"/>
      <c r="DK221" s="356"/>
      <c r="DL221" s="356"/>
      <c r="DM221" s="356"/>
      <c r="DN221" s="356"/>
      <c r="DO221" s="356"/>
      <c r="DP221" s="356"/>
      <c r="DQ221" s="356"/>
    </row>
    <row r="222" spans="1:121" hidden="1" outlineLevel="1">
      <c r="A222" s="41"/>
      <c r="B222" s="364"/>
      <c r="C222" s="356"/>
      <c r="D222" s="356"/>
      <c r="E222" s="362"/>
      <c r="F222" s="362"/>
      <c r="G222" s="356"/>
      <c r="H222" s="364"/>
      <c r="I222" s="364"/>
      <c r="J222" s="366"/>
      <c r="K222" s="366"/>
      <c r="L222" s="366"/>
      <c r="M222" s="366"/>
      <c r="N222" s="366"/>
      <c r="O222" s="366"/>
      <c r="P222" s="366"/>
      <c r="Q222" s="366"/>
      <c r="R222" s="369"/>
      <c r="S222" s="369"/>
      <c r="T222" s="366"/>
      <c r="U222" s="427"/>
      <c r="V222" s="427"/>
      <c r="W222" s="372"/>
      <c r="X222" s="373"/>
      <c r="Y222" s="373"/>
      <c r="Z222" s="374"/>
      <c r="AA222" s="374"/>
      <c r="AB222" s="374"/>
      <c r="AC222" s="374"/>
      <c r="AD222" s="369"/>
      <c r="AE222" s="376"/>
      <c r="AF222" s="376"/>
      <c r="AG222" s="376"/>
      <c r="AH222" s="376"/>
      <c r="AI222" s="375"/>
      <c r="AJ222" s="366"/>
      <c r="AK222" s="366"/>
      <c r="AL222" s="366"/>
      <c r="AM222" s="366"/>
      <c r="AN222" s="366"/>
      <c r="AO222" s="366"/>
      <c r="AP222" s="366"/>
      <c r="AQ222" s="366"/>
      <c r="AR222" s="366"/>
      <c r="AS222" s="366"/>
      <c r="AT222" s="366"/>
      <c r="AU222" s="366"/>
      <c r="AV222" s="366"/>
      <c r="AW222" s="366"/>
      <c r="AX222" s="366"/>
      <c r="AY222" s="366"/>
      <c r="AZ222" s="366"/>
      <c r="BA222" s="366"/>
      <c r="BB222" s="366"/>
      <c r="BC222" s="366"/>
      <c r="BD222" s="366"/>
      <c r="BE222" s="366"/>
      <c r="BF222" s="366"/>
      <c r="BG222" s="366"/>
      <c r="BH222" s="366"/>
      <c r="BI222" s="366"/>
      <c r="BJ222" s="366"/>
      <c r="BK222" s="366"/>
      <c r="BL222" s="366"/>
      <c r="BM222" s="366"/>
      <c r="BN222" s="366"/>
      <c r="BO222" s="366"/>
      <c r="BP222" s="366"/>
      <c r="BQ222" s="366"/>
      <c r="BR222" s="366"/>
      <c r="BS222" s="366"/>
      <c r="BT222" s="366"/>
      <c r="BU222" s="366"/>
      <c r="BV222" s="366"/>
      <c r="BW222" s="366"/>
      <c r="BX222" s="366"/>
      <c r="BY222" s="423"/>
      <c r="BZ222" s="423"/>
      <c r="CI222" s="356"/>
      <c r="CJ222" s="356"/>
      <c r="CK222" s="356"/>
      <c r="CP222" s="356"/>
      <c r="CQ222" s="356"/>
      <c r="CR222" s="356"/>
      <c r="CS222" s="356"/>
      <c r="CT222" s="356"/>
      <c r="CU222" s="356"/>
      <c r="CV222" s="356"/>
      <c r="CW222" s="356"/>
      <c r="CX222" s="356"/>
      <c r="CY222" s="356"/>
      <c r="CZ222" s="356"/>
      <c r="DA222" s="356"/>
      <c r="DB222" s="356"/>
      <c r="DC222" s="356"/>
      <c r="DD222" s="356"/>
      <c r="DE222" s="356"/>
      <c r="DF222" s="356"/>
      <c r="DG222" s="356"/>
      <c r="DH222" s="356"/>
      <c r="DI222" s="356"/>
      <c r="DJ222" s="356"/>
      <c r="DK222" s="356"/>
      <c r="DL222" s="356"/>
      <c r="DM222" s="356"/>
      <c r="DN222" s="356"/>
      <c r="DO222" s="356"/>
      <c r="DP222" s="356"/>
      <c r="DQ222" s="356"/>
    </row>
    <row r="223" spans="1:121" hidden="1" outlineLevel="1">
      <c r="A223" s="41"/>
      <c r="B223" s="364"/>
      <c r="C223" s="356"/>
      <c r="D223" s="356"/>
      <c r="E223" s="362"/>
      <c r="F223" s="362"/>
      <c r="G223" s="356"/>
      <c r="H223" s="364"/>
      <c r="I223" s="364"/>
      <c r="J223" s="366"/>
      <c r="K223" s="366"/>
      <c r="L223" s="366"/>
      <c r="M223" s="366"/>
      <c r="N223" s="366"/>
      <c r="O223" s="366"/>
      <c r="P223" s="366"/>
      <c r="Q223" s="366"/>
      <c r="R223" s="369"/>
      <c r="S223" s="369"/>
      <c r="T223" s="366"/>
      <c r="U223" s="427"/>
      <c r="V223" s="427"/>
      <c r="W223" s="372"/>
      <c r="X223" s="373"/>
      <c r="Y223" s="373"/>
      <c r="Z223" s="374"/>
      <c r="AA223" s="374"/>
      <c r="AB223" s="374"/>
      <c r="AC223" s="374"/>
      <c r="AD223" s="369"/>
      <c r="AE223" s="376"/>
      <c r="AF223" s="376"/>
      <c r="AG223" s="376"/>
      <c r="AH223" s="376"/>
      <c r="AI223" s="375"/>
      <c r="AJ223" s="366"/>
      <c r="AK223" s="366"/>
      <c r="AL223" s="366"/>
      <c r="AM223" s="366"/>
      <c r="AN223" s="366"/>
      <c r="AO223" s="366"/>
      <c r="AP223" s="366"/>
      <c r="AQ223" s="366"/>
      <c r="AR223" s="366"/>
      <c r="AS223" s="366"/>
      <c r="AT223" s="366"/>
      <c r="AU223" s="366"/>
      <c r="AV223" s="366"/>
      <c r="AW223" s="366"/>
      <c r="AX223" s="366"/>
      <c r="AY223" s="366"/>
      <c r="AZ223" s="366"/>
      <c r="BA223" s="366"/>
      <c r="BB223" s="366"/>
      <c r="BC223" s="366"/>
      <c r="BD223" s="366"/>
      <c r="BE223" s="366"/>
      <c r="BF223" s="366"/>
      <c r="BG223" s="366"/>
      <c r="BH223" s="366"/>
      <c r="BI223" s="366"/>
      <c r="BJ223" s="366"/>
      <c r="BK223" s="366"/>
      <c r="BL223" s="366"/>
      <c r="BM223" s="366"/>
      <c r="BN223" s="366"/>
      <c r="BO223" s="366"/>
      <c r="BP223" s="366"/>
      <c r="BQ223" s="366"/>
      <c r="BR223" s="366"/>
      <c r="BS223" s="366"/>
      <c r="BT223" s="366"/>
      <c r="BU223" s="366"/>
      <c r="BV223" s="366"/>
      <c r="BW223" s="366"/>
      <c r="BX223" s="366"/>
      <c r="BY223" s="423"/>
      <c r="BZ223" s="423"/>
      <c r="CI223" s="356"/>
      <c r="CJ223" s="356"/>
      <c r="CK223" s="356"/>
      <c r="CP223" s="356"/>
      <c r="CQ223" s="356"/>
      <c r="CR223" s="356"/>
      <c r="CS223" s="356"/>
      <c r="CT223" s="356"/>
      <c r="CU223" s="356"/>
      <c r="CV223" s="356"/>
      <c r="CW223" s="356"/>
      <c r="CX223" s="356"/>
      <c r="CY223" s="356"/>
      <c r="CZ223" s="356"/>
      <c r="DA223" s="356"/>
      <c r="DB223" s="356"/>
      <c r="DC223" s="356"/>
      <c r="DD223" s="356"/>
      <c r="DE223" s="356"/>
      <c r="DF223" s="356"/>
      <c r="DG223" s="356"/>
      <c r="DH223" s="356"/>
      <c r="DI223" s="356"/>
      <c r="DJ223" s="356"/>
      <c r="DK223" s="356"/>
      <c r="DL223" s="356"/>
      <c r="DM223" s="356"/>
      <c r="DN223" s="356"/>
      <c r="DO223" s="356"/>
      <c r="DP223" s="356"/>
      <c r="DQ223" s="356"/>
    </row>
    <row r="224" spans="1:121" hidden="1" outlineLevel="1">
      <c r="A224" s="41"/>
      <c r="B224" s="364"/>
      <c r="C224" s="356"/>
      <c r="D224" s="356"/>
      <c r="E224" s="362"/>
      <c r="F224" s="362"/>
      <c r="G224" s="356"/>
      <c r="H224" s="364"/>
      <c r="I224" s="364"/>
      <c r="J224" s="366"/>
      <c r="K224" s="366"/>
      <c r="L224" s="366"/>
      <c r="M224" s="366"/>
      <c r="N224" s="366"/>
      <c r="O224" s="366"/>
      <c r="P224" s="366"/>
      <c r="Q224" s="366"/>
      <c r="R224" s="369"/>
      <c r="S224" s="369"/>
      <c r="T224" s="366"/>
      <c r="U224" s="427"/>
      <c r="V224" s="427"/>
      <c r="W224" s="372"/>
      <c r="X224" s="373"/>
      <c r="Y224" s="373"/>
      <c r="Z224" s="374"/>
      <c r="AA224" s="374"/>
      <c r="AB224" s="374"/>
      <c r="AC224" s="374"/>
      <c r="AD224" s="369"/>
      <c r="AE224" s="376"/>
      <c r="AF224" s="376"/>
      <c r="AG224" s="376"/>
      <c r="AH224" s="376"/>
      <c r="AI224" s="375"/>
      <c r="AJ224" s="366"/>
      <c r="AK224" s="366"/>
      <c r="AL224" s="366"/>
      <c r="AM224" s="366"/>
      <c r="AN224" s="366"/>
      <c r="AO224" s="366"/>
      <c r="AP224" s="366"/>
      <c r="AQ224" s="366"/>
      <c r="AR224" s="366"/>
      <c r="AS224" s="366"/>
      <c r="AT224" s="366"/>
      <c r="AU224" s="366"/>
      <c r="AV224" s="366"/>
      <c r="AW224" s="366"/>
      <c r="AX224" s="366"/>
      <c r="AY224" s="366"/>
      <c r="AZ224" s="366"/>
      <c r="BA224" s="366"/>
      <c r="BB224" s="366"/>
      <c r="BC224" s="366"/>
      <c r="BD224" s="366"/>
      <c r="BE224" s="366"/>
      <c r="BF224" s="366"/>
      <c r="BG224" s="366"/>
      <c r="BH224" s="366"/>
      <c r="BI224" s="366"/>
      <c r="BJ224" s="366"/>
      <c r="BK224" s="366"/>
      <c r="BL224" s="366"/>
      <c r="BM224" s="366"/>
      <c r="BN224" s="366"/>
      <c r="BO224" s="366"/>
      <c r="BP224" s="366"/>
      <c r="BQ224" s="366"/>
      <c r="BR224" s="366"/>
      <c r="BS224" s="366"/>
      <c r="BT224" s="366"/>
      <c r="BU224" s="366"/>
      <c r="BV224" s="366"/>
      <c r="BW224" s="366"/>
      <c r="BX224" s="366"/>
      <c r="BY224" s="423"/>
      <c r="BZ224" s="423"/>
      <c r="CI224" s="356"/>
      <c r="CJ224" s="356"/>
      <c r="CK224" s="356"/>
      <c r="CP224" s="356"/>
      <c r="CQ224" s="356"/>
      <c r="CR224" s="356"/>
      <c r="CS224" s="356"/>
      <c r="CT224" s="356"/>
      <c r="CU224" s="356"/>
      <c r="CV224" s="356"/>
      <c r="CW224" s="356"/>
      <c r="CX224" s="356"/>
      <c r="CY224" s="356"/>
      <c r="CZ224" s="356"/>
      <c r="DA224" s="356"/>
      <c r="DB224" s="356"/>
      <c r="DC224" s="356"/>
      <c r="DD224" s="356"/>
      <c r="DE224" s="356"/>
      <c r="DF224" s="356"/>
      <c r="DG224" s="356"/>
      <c r="DH224" s="356"/>
      <c r="DI224" s="356"/>
      <c r="DJ224" s="356"/>
      <c r="DK224" s="356"/>
      <c r="DL224" s="356"/>
      <c r="DM224" s="356"/>
      <c r="DN224" s="356"/>
      <c r="DO224" s="356"/>
      <c r="DP224" s="356"/>
      <c r="DQ224" s="356"/>
    </row>
    <row r="225" spans="1:121" hidden="1" outlineLevel="1">
      <c r="A225" s="41"/>
      <c r="B225" s="364"/>
      <c r="C225" s="356"/>
      <c r="D225" s="356"/>
      <c r="E225" s="362"/>
      <c r="F225" s="362"/>
      <c r="G225" s="356"/>
      <c r="H225" s="364"/>
      <c r="I225" s="364"/>
      <c r="J225" s="366"/>
      <c r="K225" s="366"/>
      <c r="L225" s="366"/>
      <c r="M225" s="366"/>
      <c r="N225" s="366"/>
      <c r="O225" s="366"/>
      <c r="P225" s="366"/>
      <c r="Q225" s="366"/>
      <c r="R225" s="369"/>
      <c r="S225" s="369"/>
      <c r="T225" s="366"/>
      <c r="U225" s="427"/>
      <c r="V225" s="427"/>
      <c r="W225" s="372"/>
      <c r="X225" s="373"/>
      <c r="Y225" s="373"/>
      <c r="Z225" s="374"/>
      <c r="AA225" s="374"/>
      <c r="AB225" s="374"/>
      <c r="AC225" s="374"/>
      <c r="AD225" s="369"/>
      <c r="AE225" s="376"/>
      <c r="AF225" s="376"/>
      <c r="AG225" s="376"/>
      <c r="AH225" s="376"/>
      <c r="AI225" s="375"/>
      <c r="AJ225" s="366"/>
      <c r="AK225" s="366"/>
      <c r="AL225" s="366"/>
      <c r="AM225" s="366"/>
      <c r="AN225" s="366"/>
      <c r="AO225" s="366"/>
      <c r="AP225" s="366"/>
      <c r="AQ225" s="366"/>
      <c r="AR225" s="366"/>
      <c r="AS225" s="366"/>
      <c r="AT225" s="366"/>
      <c r="AU225" s="366"/>
      <c r="AV225" s="366"/>
      <c r="AW225" s="366"/>
      <c r="AX225" s="366"/>
      <c r="AY225" s="366"/>
      <c r="AZ225" s="366"/>
      <c r="BA225" s="366"/>
      <c r="BB225" s="366"/>
      <c r="BC225" s="366"/>
      <c r="BD225" s="366"/>
      <c r="BE225" s="366"/>
      <c r="BF225" s="366"/>
      <c r="BG225" s="366"/>
      <c r="BH225" s="366"/>
      <c r="BI225" s="366"/>
      <c r="BJ225" s="366"/>
      <c r="BK225" s="366"/>
      <c r="BL225" s="366"/>
      <c r="BM225" s="366"/>
      <c r="BN225" s="366"/>
      <c r="BO225" s="366"/>
      <c r="BP225" s="366"/>
      <c r="BQ225" s="366"/>
      <c r="BR225" s="366"/>
      <c r="BS225" s="366"/>
      <c r="BT225" s="366"/>
      <c r="BU225" s="366"/>
      <c r="BV225" s="366"/>
      <c r="BW225" s="366"/>
      <c r="BX225" s="366"/>
      <c r="BY225" s="423"/>
      <c r="BZ225" s="423"/>
      <c r="CI225" s="356"/>
      <c r="CJ225" s="356"/>
      <c r="CK225" s="356"/>
      <c r="CP225" s="356"/>
      <c r="CQ225" s="356"/>
      <c r="CR225" s="356"/>
      <c r="CS225" s="356"/>
      <c r="CT225" s="356"/>
      <c r="CU225" s="356"/>
      <c r="CV225" s="356"/>
      <c r="CW225" s="356"/>
      <c r="CX225" s="356"/>
      <c r="CY225" s="356"/>
      <c r="CZ225" s="356"/>
      <c r="DA225" s="356"/>
      <c r="DB225" s="356"/>
      <c r="DC225" s="356"/>
      <c r="DD225" s="356"/>
      <c r="DE225" s="356"/>
      <c r="DF225" s="356"/>
      <c r="DG225" s="356"/>
      <c r="DH225" s="356"/>
      <c r="DI225" s="356"/>
      <c r="DJ225" s="356"/>
      <c r="DK225" s="356"/>
      <c r="DL225" s="356"/>
      <c r="DM225" s="356"/>
      <c r="DN225" s="356"/>
      <c r="DO225" s="356"/>
      <c r="DP225" s="356"/>
      <c r="DQ225" s="356"/>
    </row>
    <row r="226" spans="1:121" hidden="1" outlineLevel="1">
      <c r="A226" s="41"/>
      <c r="B226" s="364"/>
      <c r="C226" s="356"/>
      <c r="D226" s="356"/>
      <c r="E226" s="362"/>
      <c r="F226" s="362"/>
      <c r="G226" s="356"/>
      <c r="H226" s="364"/>
      <c r="I226" s="364"/>
      <c r="J226" s="366"/>
      <c r="K226" s="366"/>
      <c r="L226" s="366"/>
      <c r="M226" s="366"/>
      <c r="N226" s="366"/>
      <c r="O226" s="366"/>
      <c r="P226" s="366"/>
      <c r="Q226" s="366"/>
      <c r="R226" s="369"/>
      <c r="S226" s="369"/>
      <c r="T226" s="366"/>
      <c r="U226" s="427"/>
      <c r="V226" s="427"/>
      <c r="W226" s="372"/>
      <c r="X226" s="373"/>
      <c r="Y226" s="373"/>
      <c r="Z226" s="374"/>
      <c r="AA226" s="374"/>
      <c r="AB226" s="374"/>
      <c r="AC226" s="374"/>
      <c r="AD226" s="369"/>
      <c r="AE226" s="376"/>
      <c r="AF226" s="376"/>
      <c r="AG226" s="376"/>
      <c r="AH226" s="376"/>
      <c r="AI226" s="375"/>
      <c r="AJ226" s="366"/>
      <c r="AK226" s="366"/>
      <c r="AL226" s="366"/>
      <c r="AM226" s="366"/>
      <c r="AN226" s="366"/>
      <c r="AO226" s="366"/>
      <c r="AP226" s="366"/>
      <c r="AQ226" s="366"/>
      <c r="AR226" s="366"/>
      <c r="AS226" s="366"/>
      <c r="AT226" s="366"/>
      <c r="AU226" s="366"/>
      <c r="AV226" s="366"/>
      <c r="AW226" s="366"/>
      <c r="AX226" s="366"/>
      <c r="AY226" s="366"/>
      <c r="AZ226" s="366"/>
      <c r="BA226" s="366"/>
      <c r="BB226" s="366"/>
      <c r="BC226" s="366"/>
      <c r="BD226" s="366"/>
      <c r="BE226" s="366"/>
      <c r="BF226" s="366"/>
      <c r="BG226" s="366"/>
      <c r="BH226" s="366"/>
      <c r="BI226" s="366"/>
      <c r="BJ226" s="366"/>
      <c r="BK226" s="366"/>
      <c r="BL226" s="366"/>
      <c r="BM226" s="366"/>
      <c r="BN226" s="366"/>
      <c r="BO226" s="366"/>
      <c r="BP226" s="366"/>
      <c r="BQ226" s="366"/>
      <c r="BR226" s="366"/>
      <c r="BS226" s="366"/>
      <c r="BT226" s="366"/>
      <c r="BU226" s="366"/>
      <c r="BV226" s="366"/>
      <c r="BW226" s="366"/>
      <c r="BX226" s="366"/>
      <c r="BY226" s="423"/>
      <c r="BZ226" s="423"/>
      <c r="CI226" s="356"/>
      <c r="CJ226" s="356"/>
      <c r="CK226" s="356"/>
      <c r="CP226" s="356"/>
      <c r="CQ226" s="356"/>
      <c r="CR226" s="356"/>
      <c r="CS226" s="356"/>
      <c r="CT226" s="356"/>
      <c r="CU226" s="356"/>
      <c r="CV226" s="356"/>
      <c r="CW226" s="356"/>
      <c r="CX226" s="356"/>
      <c r="CY226" s="356"/>
      <c r="CZ226" s="356"/>
      <c r="DA226" s="356"/>
      <c r="DB226" s="356"/>
      <c r="DC226" s="356"/>
      <c r="DD226" s="356"/>
      <c r="DE226" s="356"/>
      <c r="DF226" s="356"/>
      <c r="DG226" s="356"/>
      <c r="DH226" s="356"/>
      <c r="DI226" s="356"/>
      <c r="DJ226" s="356"/>
      <c r="DK226" s="356"/>
      <c r="DL226" s="356"/>
      <c r="DM226" s="356"/>
      <c r="DN226" s="356"/>
      <c r="DO226" s="356"/>
      <c r="DP226" s="356"/>
      <c r="DQ226" s="356"/>
    </row>
    <row r="227" spans="1:121" hidden="1" outlineLevel="1">
      <c r="A227" s="41"/>
      <c r="B227" s="364"/>
      <c r="C227" s="356"/>
      <c r="D227" s="356"/>
      <c r="E227" s="362"/>
      <c r="F227" s="362"/>
      <c r="G227" s="356"/>
      <c r="H227" s="364"/>
      <c r="I227" s="364"/>
      <c r="J227" s="366"/>
      <c r="K227" s="366"/>
      <c r="L227" s="366"/>
      <c r="M227" s="366"/>
      <c r="N227" s="366"/>
      <c r="O227" s="366"/>
      <c r="P227" s="366"/>
      <c r="Q227" s="366"/>
      <c r="R227" s="369"/>
      <c r="S227" s="369"/>
      <c r="T227" s="366"/>
      <c r="U227" s="427"/>
      <c r="V227" s="427"/>
      <c r="W227" s="372"/>
      <c r="X227" s="373"/>
      <c r="Y227" s="373"/>
      <c r="Z227" s="374"/>
      <c r="AA227" s="374"/>
      <c r="AB227" s="374"/>
      <c r="AC227" s="374"/>
      <c r="AD227" s="369"/>
      <c r="AE227" s="376"/>
      <c r="AF227" s="376"/>
      <c r="AG227" s="376"/>
      <c r="AH227" s="376"/>
      <c r="AI227" s="375"/>
      <c r="AJ227" s="366"/>
      <c r="AK227" s="366"/>
      <c r="AL227" s="366"/>
      <c r="AM227" s="366"/>
      <c r="AN227" s="366"/>
      <c r="AO227" s="366"/>
      <c r="AP227" s="366"/>
      <c r="AQ227" s="366"/>
      <c r="AR227" s="366"/>
      <c r="AS227" s="366"/>
      <c r="AT227" s="366"/>
      <c r="AU227" s="366"/>
      <c r="AV227" s="366"/>
      <c r="AW227" s="366"/>
      <c r="AX227" s="366"/>
      <c r="AY227" s="366"/>
      <c r="AZ227" s="366"/>
      <c r="BA227" s="366"/>
      <c r="BB227" s="366"/>
      <c r="BC227" s="366"/>
      <c r="BD227" s="366"/>
      <c r="BE227" s="366"/>
      <c r="BF227" s="366"/>
      <c r="BG227" s="366"/>
      <c r="BH227" s="366"/>
      <c r="BI227" s="366"/>
      <c r="BJ227" s="366"/>
      <c r="BK227" s="366"/>
      <c r="BL227" s="366"/>
      <c r="BM227" s="366"/>
      <c r="BN227" s="366"/>
      <c r="BO227" s="366"/>
      <c r="BP227" s="366"/>
      <c r="BQ227" s="366"/>
      <c r="BR227" s="366"/>
      <c r="BS227" s="366"/>
      <c r="BT227" s="366"/>
      <c r="BU227" s="366"/>
      <c r="BV227" s="366"/>
      <c r="BW227" s="366"/>
      <c r="BX227" s="366"/>
      <c r="BY227" s="423"/>
      <c r="BZ227" s="423"/>
      <c r="CI227" s="356"/>
      <c r="CJ227" s="356"/>
      <c r="CK227" s="356"/>
      <c r="CP227" s="356"/>
      <c r="CQ227" s="356"/>
      <c r="CR227" s="356"/>
      <c r="CS227" s="356"/>
      <c r="CT227" s="356"/>
      <c r="CU227" s="356"/>
      <c r="CV227" s="356"/>
      <c r="CW227" s="356"/>
      <c r="CX227" s="356"/>
      <c r="CY227" s="356"/>
      <c r="CZ227" s="356"/>
      <c r="DA227" s="356"/>
      <c r="DB227" s="356"/>
      <c r="DC227" s="356"/>
      <c r="DD227" s="356"/>
      <c r="DE227" s="356"/>
      <c r="DF227" s="356"/>
      <c r="DG227" s="356"/>
      <c r="DH227" s="356"/>
      <c r="DI227" s="356"/>
      <c r="DJ227" s="356"/>
      <c r="DK227" s="356"/>
      <c r="DL227" s="356"/>
      <c r="DM227" s="356"/>
      <c r="DN227" s="356"/>
      <c r="DO227" s="356"/>
      <c r="DP227" s="356"/>
      <c r="DQ227" s="356"/>
    </row>
    <row r="228" spans="1:121" hidden="1" outlineLevel="1">
      <c r="A228" s="41"/>
      <c r="B228" s="364"/>
      <c r="C228" s="356"/>
      <c r="D228" s="356"/>
      <c r="E228" s="362"/>
      <c r="F228" s="362"/>
      <c r="G228" s="356"/>
      <c r="H228" s="364"/>
      <c r="I228" s="364"/>
      <c r="J228" s="366"/>
      <c r="K228" s="366"/>
      <c r="L228" s="366"/>
      <c r="M228" s="366"/>
      <c r="N228" s="366"/>
      <c r="O228" s="366"/>
      <c r="P228" s="366"/>
      <c r="Q228" s="366"/>
      <c r="R228" s="369"/>
      <c r="S228" s="369"/>
      <c r="T228" s="366"/>
      <c r="U228" s="427"/>
      <c r="V228" s="427"/>
      <c r="W228" s="372"/>
      <c r="X228" s="373"/>
      <c r="Y228" s="373"/>
      <c r="Z228" s="374"/>
      <c r="AA228" s="374"/>
      <c r="AB228" s="374"/>
      <c r="AC228" s="374"/>
      <c r="AD228" s="369"/>
      <c r="AE228" s="376"/>
      <c r="AF228" s="376"/>
      <c r="AG228" s="376"/>
      <c r="AH228" s="376"/>
      <c r="AI228" s="375"/>
      <c r="AJ228" s="366"/>
      <c r="AK228" s="366"/>
      <c r="AL228" s="366"/>
      <c r="AM228" s="366"/>
      <c r="AN228" s="366"/>
      <c r="AO228" s="366"/>
      <c r="AP228" s="366"/>
      <c r="AQ228" s="366"/>
      <c r="AR228" s="366"/>
      <c r="AS228" s="366"/>
      <c r="AT228" s="366"/>
      <c r="AU228" s="366"/>
      <c r="AV228" s="366"/>
      <c r="AW228" s="366"/>
      <c r="AX228" s="366"/>
      <c r="AY228" s="366"/>
      <c r="AZ228" s="366"/>
      <c r="BA228" s="366"/>
      <c r="BB228" s="366"/>
      <c r="BC228" s="366"/>
      <c r="BD228" s="366"/>
      <c r="BE228" s="366"/>
      <c r="BF228" s="366"/>
      <c r="BG228" s="366"/>
      <c r="BH228" s="366"/>
      <c r="BI228" s="366"/>
      <c r="BJ228" s="366"/>
      <c r="BK228" s="366"/>
      <c r="BL228" s="366"/>
      <c r="BM228" s="366"/>
      <c r="BN228" s="366"/>
      <c r="BO228" s="366"/>
      <c r="BP228" s="366"/>
      <c r="BQ228" s="366"/>
      <c r="BR228" s="366"/>
      <c r="BS228" s="366"/>
      <c r="BT228" s="366"/>
      <c r="BU228" s="366"/>
      <c r="BV228" s="366"/>
      <c r="BW228" s="366"/>
      <c r="BX228" s="366"/>
      <c r="BY228" s="423"/>
      <c r="BZ228" s="423"/>
      <c r="CI228" s="356"/>
      <c r="CJ228" s="356"/>
      <c r="CK228" s="356"/>
      <c r="CP228" s="356"/>
      <c r="CQ228" s="356"/>
      <c r="CR228" s="356"/>
      <c r="CS228" s="356"/>
      <c r="CT228" s="356"/>
      <c r="CU228" s="356"/>
      <c r="CV228" s="356"/>
      <c r="CW228" s="356"/>
      <c r="CX228" s="356"/>
      <c r="CY228" s="356"/>
      <c r="CZ228" s="356"/>
      <c r="DA228" s="356"/>
      <c r="DB228" s="356"/>
      <c r="DC228" s="356"/>
      <c r="DD228" s="356"/>
      <c r="DE228" s="356"/>
      <c r="DF228" s="356"/>
      <c r="DG228" s="356"/>
      <c r="DH228" s="356"/>
      <c r="DI228" s="356"/>
      <c r="DJ228" s="356"/>
      <c r="DK228" s="356"/>
      <c r="DL228" s="356"/>
      <c r="DM228" s="356"/>
      <c r="DN228" s="356"/>
      <c r="DO228" s="356"/>
      <c r="DP228" s="356"/>
      <c r="DQ228" s="356"/>
    </row>
    <row r="229" spans="1:121" hidden="1" outlineLevel="1">
      <c r="A229" s="41"/>
      <c r="B229" s="364"/>
      <c r="C229" s="356"/>
      <c r="D229" s="356"/>
      <c r="E229" s="362"/>
      <c r="F229" s="362"/>
      <c r="G229" s="356"/>
      <c r="H229" s="364"/>
      <c r="I229" s="364"/>
      <c r="J229" s="366"/>
      <c r="K229" s="366"/>
      <c r="L229" s="366"/>
      <c r="M229" s="366"/>
      <c r="N229" s="366"/>
      <c r="O229" s="366"/>
      <c r="P229" s="366"/>
      <c r="Q229" s="366"/>
      <c r="R229" s="369"/>
      <c r="S229" s="369"/>
      <c r="T229" s="366"/>
      <c r="U229" s="427"/>
      <c r="V229" s="427"/>
      <c r="W229" s="372"/>
      <c r="X229" s="373"/>
      <c r="Y229" s="373"/>
      <c r="Z229" s="374"/>
      <c r="AA229" s="374"/>
      <c r="AB229" s="374"/>
      <c r="AC229" s="374"/>
      <c r="AD229" s="369"/>
      <c r="AE229" s="376"/>
      <c r="AF229" s="376"/>
      <c r="AG229" s="376"/>
      <c r="AH229" s="376"/>
      <c r="AI229" s="375"/>
      <c r="AJ229" s="366"/>
      <c r="AK229" s="366"/>
      <c r="AL229" s="366"/>
      <c r="AM229" s="366"/>
      <c r="AN229" s="366"/>
      <c r="AO229" s="366"/>
      <c r="AP229" s="366"/>
      <c r="AQ229" s="366"/>
      <c r="AR229" s="366"/>
      <c r="AS229" s="366"/>
      <c r="AT229" s="366"/>
      <c r="AU229" s="366"/>
      <c r="AV229" s="366"/>
      <c r="AW229" s="366"/>
      <c r="AX229" s="366"/>
      <c r="AY229" s="366"/>
      <c r="AZ229" s="366"/>
      <c r="BA229" s="366"/>
      <c r="BB229" s="366"/>
      <c r="BC229" s="366"/>
      <c r="BD229" s="366"/>
      <c r="BE229" s="366"/>
      <c r="BF229" s="366"/>
      <c r="BG229" s="366"/>
      <c r="BH229" s="366"/>
      <c r="BI229" s="366"/>
      <c r="BJ229" s="366"/>
      <c r="BK229" s="366"/>
      <c r="BL229" s="366"/>
      <c r="BM229" s="366"/>
      <c r="BN229" s="366"/>
      <c r="BO229" s="366"/>
      <c r="BP229" s="366"/>
      <c r="BQ229" s="366"/>
      <c r="BR229" s="366"/>
      <c r="BS229" s="366"/>
      <c r="BT229" s="366"/>
      <c r="BU229" s="366"/>
      <c r="BV229" s="366"/>
      <c r="BW229" s="366"/>
      <c r="BX229" s="366"/>
      <c r="BY229" s="423"/>
      <c r="BZ229" s="423"/>
      <c r="CI229" s="356"/>
      <c r="CJ229" s="356"/>
      <c r="CK229" s="356"/>
      <c r="CP229" s="356"/>
      <c r="CQ229" s="356"/>
      <c r="CR229" s="356"/>
      <c r="CS229" s="356"/>
      <c r="CT229" s="356"/>
      <c r="CU229" s="356"/>
      <c r="CV229" s="356"/>
      <c r="CW229" s="356"/>
      <c r="CX229" s="356"/>
      <c r="CY229" s="356"/>
      <c r="CZ229" s="356"/>
      <c r="DA229" s="356"/>
      <c r="DB229" s="356"/>
      <c r="DC229" s="356"/>
      <c r="DD229" s="356"/>
      <c r="DE229" s="356"/>
      <c r="DF229" s="356"/>
      <c r="DG229" s="356"/>
      <c r="DH229" s="356"/>
      <c r="DI229" s="356"/>
      <c r="DJ229" s="356"/>
      <c r="DK229" s="356"/>
      <c r="DL229" s="356"/>
      <c r="DM229" s="356"/>
      <c r="DN229" s="356"/>
      <c r="DO229" s="356"/>
      <c r="DP229" s="356"/>
      <c r="DQ229" s="356"/>
    </row>
    <row r="230" spans="1:121" hidden="1" outlineLevel="1">
      <c r="A230" s="41"/>
      <c r="B230" s="364"/>
      <c r="C230" s="356"/>
      <c r="D230" s="356"/>
      <c r="E230" s="362"/>
      <c r="F230" s="362"/>
      <c r="G230" s="356"/>
      <c r="H230" s="364"/>
      <c r="I230" s="364"/>
      <c r="J230" s="366"/>
      <c r="K230" s="366"/>
      <c r="L230" s="366"/>
      <c r="M230" s="366"/>
      <c r="N230" s="366"/>
      <c r="O230" s="366"/>
      <c r="P230" s="366"/>
      <c r="Q230" s="366"/>
      <c r="R230" s="369"/>
      <c r="S230" s="369"/>
      <c r="T230" s="366"/>
      <c r="U230" s="427"/>
      <c r="V230" s="427"/>
      <c r="W230" s="372"/>
      <c r="X230" s="373"/>
      <c r="Y230" s="373"/>
      <c r="Z230" s="374"/>
      <c r="AA230" s="374"/>
      <c r="AB230" s="374"/>
      <c r="AC230" s="374"/>
      <c r="AD230" s="369"/>
      <c r="AE230" s="376"/>
      <c r="AF230" s="376"/>
      <c r="AG230" s="376"/>
      <c r="AH230" s="376"/>
      <c r="AI230" s="375"/>
      <c r="AJ230" s="366"/>
      <c r="AK230" s="366"/>
      <c r="AL230" s="366"/>
      <c r="AM230" s="366"/>
      <c r="AN230" s="366"/>
      <c r="AO230" s="366"/>
      <c r="AP230" s="366"/>
      <c r="AQ230" s="366"/>
      <c r="AR230" s="366"/>
      <c r="AS230" s="366"/>
      <c r="AT230" s="366"/>
      <c r="AU230" s="366"/>
      <c r="AV230" s="366"/>
      <c r="AW230" s="366"/>
      <c r="AX230" s="366"/>
      <c r="AY230" s="366"/>
      <c r="AZ230" s="366"/>
      <c r="BA230" s="366"/>
      <c r="BB230" s="366"/>
      <c r="BC230" s="366"/>
      <c r="BD230" s="366"/>
      <c r="BE230" s="366"/>
      <c r="BF230" s="366"/>
      <c r="BG230" s="366"/>
      <c r="BH230" s="366"/>
      <c r="BI230" s="366"/>
      <c r="BJ230" s="366"/>
      <c r="BK230" s="366"/>
      <c r="BL230" s="366"/>
      <c r="BM230" s="366"/>
      <c r="BN230" s="366"/>
      <c r="BO230" s="366"/>
      <c r="BP230" s="366"/>
      <c r="BQ230" s="366"/>
      <c r="BR230" s="366"/>
      <c r="BS230" s="366"/>
      <c r="BT230" s="366"/>
      <c r="BU230" s="366"/>
      <c r="BV230" s="366"/>
      <c r="BW230" s="366"/>
      <c r="BX230" s="366"/>
      <c r="BY230" s="423"/>
      <c r="BZ230" s="423"/>
      <c r="CI230" s="356"/>
      <c r="CJ230" s="356"/>
      <c r="CK230" s="356"/>
      <c r="CP230" s="356"/>
      <c r="CQ230" s="356"/>
      <c r="CR230" s="356"/>
      <c r="CS230" s="356"/>
      <c r="CT230" s="356"/>
      <c r="CU230" s="356"/>
      <c r="CV230" s="356"/>
      <c r="CW230" s="356"/>
      <c r="CX230" s="356"/>
      <c r="CY230" s="356"/>
      <c r="CZ230" s="356"/>
      <c r="DA230" s="356"/>
      <c r="DB230" s="356"/>
      <c r="DC230" s="356"/>
      <c r="DD230" s="356"/>
      <c r="DE230" s="356"/>
      <c r="DF230" s="356"/>
      <c r="DG230" s="356"/>
      <c r="DH230" s="356"/>
      <c r="DI230" s="356"/>
      <c r="DJ230" s="356"/>
      <c r="DK230" s="356"/>
      <c r="DL230" s="356"/>
      <c r="DM230" s="356"/>
      <c r="DN230" s="356"/>
      <c r="DO230" s="356"/>
      <c r="DP230" s="356"/>
      <c r="DQ230" s="356"/>
    </row>
    <row r="231" spans="1:121" hidden="1" outlineLevel="1">
      <c r="A231" s="41"/>
      <c r="B231" s="364"/>
      <c r="C231" s="356"/>
      <c r="D231" s="356"/>
      <c r="E231" s="362"/>
      <c r="F231" s="362"/>
      <c r="G231" s="356"/>
      <c r="H231" s="364"/>
      <c r="I231" s="364"/>
      <c r="J231" s="366"/>
      <c r="K231" s="366"/>
      <c r="L231" s="366"/>
      <c r="M231" s="366"/>
      <c r="N231" s="366"/>
      <c r="O231" s="366"/>
      <c r="P231" s="366"/>
      <c r="Q231" s="366"/>
      <c r="R231" s="369"/>
      <c r="S231" s="369"/>
      <c r="T231" s="366"/>
      <c r="U231" s="427"/>
      <c r="V231" s="427"/>
      <c r="W231" s="372"/>
      <c r="X231" s="373"/>
      <c r="Y231" s="373"/>
      <c r="Z231" s="374"/>
      <c r="AA231" s="374"/>
      <c r="AB231" s="374"/>
      <c r="AC231" s="374"/>
      <c r="AD231" s="369"/>
      <c r="AE231" s="376"/>
      <c r="AF231" s="376"/>
      <c r="AG231" s="376"/>
      <c r="AH231" s="376"/>
      <c r="AI231" s="375"/>
      <c r="AJ231" s="366"/>
      <c r="AK231" s="366"/>
      <c r="AL231" s="366"/>
      <c r="AM231" s="366"/>
      <c r="AN231" s="366"/>
      <c r="AO231" s="366"/>
      <c r="AP231" s="366"/>
      <c r="AQ231" s="366"/>
      <c r="AR231" s="366"/>
      <c r="AS231" s="366"/>
      <c r="AT231" s="366"/>
      <c r="AU231" s="366"/>
      <c r="AV231" s="366"/>
      <c r="AW231" s="366"/>
      <c r="AX231" s="366"/>
      <c r="AY231" s="366"/>
      <c r="AZ231" s="366"/>
      <c r="BA231" s="366"/>
      <c r="BB231" s="366"/>
      <c r="BC231" s="366"/>
      <c r="BD231" s="366"/>
      <c r="BE231" s="366"/>
      <c r="BF231" s="366"/>
      <c r="BG231" s="366"/>
      <c r="BH231" s="366"/>
      <c r="BI231" s="366"/>
      <c r="BJ231" s="366"/>
      <c r="BK231" s="366"/>
      <c r="BL231" s="366"/>
      <c r="BM231" s="366"/>
      <c r="BN231" s="366"/>
      <c r="BO231" s="366"/>
      <c r="BP231" s="366"/>
      <c r="BQ231" s="366"/>
      <c r="BR231" s="366"/>
      <c r="BS231" s="366"/>
      <c r="BT231" s="366"/>
      <c r="BU231" s="366"/>
      <c r="BV231" s="366"/>
      <c r="BW231" s="366"/>
      <c r="BX231" s="366"/>
      <c r="BY231" s="423"/>
      <c r="BZ231" s="423"/>
      <c r="CI231" s="356"/>
      <c r="CJ231" s="356"/>
      <c r="CK231" s="356"/>
      <c r="CP231" s="356"/>
      <c r="CQ231" s="356"/>
      <c r="CR231" s="356"/>
      <c r="CS231" s="356"/>
      <c r="CT231" s="356"/>
      <c r="CU231" s="356"/>
      <c r="CV231" s="356"/>
      <c r="CW231" s="356"/>
      <c r="CX231" s="356"/>
      <c r="CY231" s="356"/>
      <c r="CZ231" s="356"/>
      <c r="DA231" s="356"/>
      <c r="DB231" s="356"/>
      <c r="DC231" s="356"/>
      <c r="DD231" s="356"/>
      <c r="DE231" s="356"/>
      <c r="DF231" s="356"/>
      <c r="DG231" s="356"/>
      <c r="DH231" s="356"/>
      <c r="DI231" s="356"/>
      <c r="DJ231" s="356"/>
      <c r="DK231" s="356"/>
      <c r="DL231" s="356"/>
      <c r="DM231" s="356"/>
      <c r="DN231" s="356"/>
      <c r="DO231" s="356"/>
      <c r="DP231" s="356"/>
      <c r="DQ231" s="356"/>
    </row>
    <row r="232" spans="1:121" hidden="1" outlineLevel="1">
      <c r="A232" s="41"/>
      <c r="B232" s="364"/>
      <c r="C232" s="356"/>
      <c r="D232" s="356"/>
      <c r="E232" s="362"/>
      <c r="F232" s="362"/>
      <c r="G232" s="356"/>
      <c r="H232" s="364"/>
      <c r="I232" s="364"/>
      <c r="J232" s="366"/>
      <c r="K232" s="366"/>
      <c r="L232" s="366"/>
      <c r="M232" s="366"/>
      <c r="N232" s="366"/>
      <c r="O232" s="366"/>
      <c r="P232" s="366"/>
      <c r="Q232" s="366"/>
      <c r="R232" s="369"/>
      <c r="S232" s="369"/>
      <c r="T232" s="366"/>
      <c r="U232" s="427"/>
      <c r="V232" s="427"/>
      <c r="W232" s="372"/>
      <c r="X232" s="373"/>
      <c r="Y232" s="373"/>
      <c r="Z232" s="374"/>
      <c r="AA232" s="374"/>
      <c r="AB232" s="374"/>
      <c r="AC232" s="374"/>
      <c r="AD232" s="369"/>
      <c r="AE232" s="376"/>
      <c r="AF232" s="376"/>
      <c r="AG232" s="376"/>
      <c r="AH232" s="376"/>
      <c r="AI232" s="375"/>
      <c r="AJ232" s="366"/>
      <c r="AK232" s="366"/>
      <c r="AL232" s="366"/>
      <c r="AM232" s="366"/>
      <c r="AN232" s="366"/>
      <c r="AO232" s="366"/>
      <c r="AP232" s="366"/>
      <c r="AQ232" s="366"/>
      <c r="AR232" s="366"/>
      <c r="AS232" s="366"/>
      <c r="AT232" s="366"/>
      <c r="AU232" s="366"/>
      <c r="AV232" s="366"/>
      <c r="AW232" s="366"/>
      <c r="AX232" s="366"/>
      <c r="AY232" s="366"/>
      <c r="AZ232" s="366"/>
      <c r="BA232" s="366"/>
      <c r="BB232" s="366"/>
      <c r="BC232" s="366"/>
      <c r="BD232" s="366"/>
      <c r="BE232" s="366"/>
      <c r="BF232" s="366"/>
      <c r="BG232" s="366"/>
      <c r="BH232" s="366"/>
      <c r="BI232" s="366"/>
      <c r="BJ232" s="366"/>
      <c r="BK232" s="366"/>
      <c r="BL232" s="366"/>
      <c r="BM232" s="366"/>
      <c r="BN232" s="366"/>
      <c r="BO232" s="366"/>
      <c r="BP232" s="366"/>
      <c r="BQ232" s="366"/>
      <c r="BR232" s="366"/>
      <c r="BS232" s="366"/>
      <c r="BT232" s="366"/>
      <c r="BU232" s="366"/>
      <c r="BV232" s="366"/>
      <c r="BW232" s="366"/>
      <c r="BX232" s="366"/>
      <c r="BY232" s="423"/>
      <c r="BZ232" s="423"/>
      <c r="CI232" s="356"/>
      <c r="CJ232" s="356"/>
      <c r="CK232" s="356"/>
      <c r="CP232" s="356"/>
      <c r="CQ232" s="356"/>
      <c r="CR232" s="356"/>
      <c r="CS232" s="356"/>
      <c r="CT232" s="356"/>
      <c r="CU232" s="356"/>
      <c r="CV232" s="356"/>
      <c r="CW232" s="356"/>
      <c r="CX232" s="356"/>
      <c r="CY232" s="356"/>
      <c r="CZ232" s="356"/>
      <c r="DA232" s="356"/>
      <c r="DB232" s="356"/>
      <c r="DC232" s="356"/>
      <c r="DD232" s="356"/>
      <c r="DE232" s="356"/>
      <c r="DF232" s="356"/>
      <c r="DG232" s="356"/>
      <c r="DH232" s="356"/>
      <c r="DI232" s="356"/>
      <c r="DJ232" s="356"/>
      <c r="DK232" s="356"/>
      <c r="DL232" s="356"/>
      <c r="DM232" s="356"/>
      <c r="DN232" s="356"/>
      <c r="DO232" s="356"/>
      <c r="DP232" s="356"/>
      <c r="DQ232" s="356"/>
    </row>
    <row r="233" spans="1:121" hidden="1" outlineLevel="1">
      <c r="A233" s="41"/>
      <c r="B233" s="364"/>
      <c r="C233" s="356"/>
      <c r="D233" s="356"/>
      <c r="E233" s="362"/>
      <c r="F233" s="362"/>
      <c r="G233" s="356"/>
      <c r="H233" s="364"/>
      <c r="I233" s="364"/>
      <c r="J233" s="366"/>
      <c r="K233" s="366"/>
      <c r="L233" s="366"/>
      <c r="M233" s="366"/>
      <c r="N233" s="366"/>
      <c r="O233" s="366"/>
      <c r="P233" s="366"/>
      <c r="Q233" s="366"/>
      <c r="R233" s="369"/>
      <c r="S233" s="369"/>
      <c r="T233" s="366"/>
      <c r="U233" s="427"/>
      <c r="V233" s="427"/>
      <c r="W233" s="372"/>
      <c r="X233" s="373"/>
      <c r="Y233" s="373"/>
      <c r="Z233" s="374"/>
      <c r="AA233" s="374"/>
      <c r="AB233" s="374"/>
      <c r="AC233" s="374"/>
      <c r="AD233" s="369"/>
      <c r="AE233" s="376"/>
      <c r="AF233" s="376"/>
      <c r="AG233" s="376"/>
      <c r="AH233" s="376"/>
      <c r="AI233" s="375"/>
      <c r="AJ233" s="366"/>
      <c r="AK233" s="366"/>
      <c r="AL233" s="366"/>
      <c r="AM233" s="366"/>
      <c r="AN233" s="366"/>
      <c r="AO233" s="366"/>
      <c r="AP233" s="366"/>
      <c r="AQ233" s="366"/>
      <c r="AR233" s="366"/>
      <c r="AS233" s="366"/>
      <c r="AT233" s="366"/>
      <c r="AU233" s="366"/>
      <c r="AV233" s="366"/>
      <c r="AW233" s="366"/>
      <c r="AX233" s="366"/>
      <c r="AY233" s="366"/>
      <c r="AZ233" s="366"/>
      <c r="BA233" s="366"/>
      <c r="BB233" s="366"/>
      <c r="BC233" s="366"/>
      <c r="BD233" s="366"/>
      <c r="BE233" s="366"/>
      <c r="BF233" s="366"/>
      <c r="BG233" s="366"/>
      <c r="BH233" s="366"/>
      <c r="BI233" s="366"/>
      <c r="BJ233" s="366"/>
      <c r="BK233" s="366"/>
      <c r="BL233" s="366"/>
      <c r="BM233" s="366"/>
      <c r="BN233" s="366"/>
      <c r="BO233" s="366"/>
      <c r="BP233" s="366"/>
      <c r="BQ233" s="366"/>
      <c r="BR233" s="366"/>
      <c r="BS233" s="366"/>
      <c r="BT233" s="366"/>
      <c r="BU233" s="366"/>
      <c r="BV233" s="366"/>
      <c r="BW233" s="366"/>
      <c r="BX233" s="366"/>
      <c r="BY233" s="423"/>
      <c r="BZ233" s="423"/>
      <c r="CI233" s="356"/>
      <c r="CJ233" s="356"/>
      <c r="CK233" s="356"/>
      <c r="CP233" s="356"/>
      <c r="CQ233" s="356"/>
      <c r="CR233" s="356"/>
      <c r="CS233" s="356"/>
      <c r="CT233" s="356"/>
      <c r="CU233" s="356"/>
      <c r="CV233" s="356"/>
      <c r="CW233" s="356"/>
      <c r="CX233" s="356"/>
      <c r="CY233" s="356"/>
      <c r="CZ233" s="356"/>
      <c r="DA233" s="356"/>
      <c r="DB233" s="356"/>
      <c r="DC233" s="356"/>
      <c r="DD233" s="356"/>
      <c r="DE233" s="356"/>
      <c r="DF233" s="356"/>
      <c r="DG233" s="356"/>
      <c r="DH233" s="356"/>
      <c r="DI233" s="356"/>
      <c r="DJ233" s="356"/>
      <c r="DK233" s="356"/>
      <c r="DL233" s="356"/>
      <c r="DM233" s="356"/>
      <c r="DN233" s="356"/>
      <c r="DO233" s="356"/>
      <c r="DP233" s="356"/>
      <c r="DQ233" s="356"/>
    </row>
    <row r="234" spans="1:121" hidden="1" outlineLevel="1">
      <c r="A234" s="41"/>
      <c r="B234" s="364"/>
      <c r="C234" s="356"/>
      <c r="D234" s="356"/>
      <c r="E234" s="362"/>
      <c r="F234" s="362"/>
      <c r="G234" s="356"/>
      <c r="H234" s="364"/>
      <c r="I234" s="364"/>
      <c r="J234" s="366"/>
      <c r="K234" s="366"/>
      <c r="L234" s="366"/>
      <c r="M234" s="366"/>
      <c r="N234" s="366"/>
      <c r="O234" s="366"/>
      <c r="P234" s="366"/>
      <c r="Q234" s="366"/>
      <c r="R234" s="369"/>
      <c r="S234" s="369"/>
      <c r="T234" s="366"/>
      <c r="U234" s="427"/>
      <c r="V234" s="427"/>
      <c r="W234" s="372"/>
      <c r="X234" s="373"/>
      <c r="Y234" s="373"/>
      <c r="Z234" s="374"/>
      <c r="AA234" s="374"/>
      <c r="AB234" s="374"/>
      <c r="AC234" s="374"/>
      <c r="AD234" s="369"/>
      <c r="AE234" s="376"/>
      <c r="AF234" s="376"/>
      <c r="AG234" s="376"/>
      <c r="AH234" s="376"/>
      <c r="AI234" s="375"/>
      <c r="AJ234" s="366"/>
      <c r="AK234" s="366"/>
      <c r="AL234" s="366"/>
      <c r="AM234" s="366"/>
      <c r="AN234" s="366"/>
      <c r="AO234" s="366"/>
      <c r="AP234" s="366"/>
      <c r="AQ234" s="366"/>
      <c r="AR234" s="366"/>
      <c r="AS234" s="366"/>
      <c r="AT234" s="366"/>
      <c r="AU234" s="366"/>
      <c r="AV234" s="366"/>
      <c r="AW234" s="366"/>
      <c r="AX234" s="366"/>
      <c r="AY234" s="366"/>
      <c r="AZ234" s="366"/>
      <c r="BA234" s="366"/>
      <c r="BB234" s="366"/>
      <c r="BC234" s="366"/>
      <c r="BD234" s="366"/>
      <c r="BE234" s="366"/>
      <c r="BF234" s="366"/>
      <c r="BG234" s="366"/>
      <c r="BH234" s="366"/>
      <c r="BI234" s="366"/>
      <c r="BJ234" s="366"/>
      <c r="BK234" s="366"/>
      <c r="BL234" s="366"/>
      <c r="BM234" s="366"/>
      <c r="BN234" s="366"/>
      <c r="BO234" s="366"/>
      <c r="BP234" s="366"/>
      <c r="BQ234" s="366"/>
      <c r="BR234" s="366"/>
      <c r="BS234" s="366"/>
      <c r="BT234" s="366"/>
      <c r="BU234" s="366"/>
      <c r="BV234" s="366"/>
      <c r="BW234" s="366"/>
      <c r="BX234" s="366"/>
      <c r="BY234" s="423"/>
      <c r="BZ234" s="423"/>
      <c r="CI234" s="356"/>
      <c r="CJ234" s="356"/>
      <c r="CK234" s="356"/>
      <c r="CP234" s="356"/>
      <c r="CQ234" s="356"/>
      <c r="CR234" s="356"/>
      <c r="CS234" s="356"/>
      <c r="CT234" s="356"/>
      <c r="CU234" s="356"/>
      <c r="CV234" s="356"/>
      <c r="CW234" s="356"/>
      <c r="CX234" s="356"/>
      <c r="CY234" s="356"/>
      <c r="CZ234" s="356"/>
      <c r="DA234" s="356"/>
      <c r="DB234" s="356"/>
      <c r="DC234" s="356"/>
      <c r="DD234" s="356"/>
      <c r="DE234" s="356"/>
      <c r="DF234" s="356"/>
      <c r="DG234" s="356"/>
      <c r="DH234" s="356"/>
      <c r="DI234" s="356"/>
      <c r="DJ234" s="356"/>
      <c r="DK234" s="356"/>
      <c r="DL234" s="356"/>
      <c r="DM234" s="356"/>
      <c r="DN234" s="356"/>
      <c r="DO234" s="356"/>
      <c r="DP234" s="356"/>
      <c r="DQ234" s="356"/>
    </row>
    <row r="235" spans="1:121" hidden="1" outlineLevel="1">
      <c r="A235" s="41"/>
      <c r="B235" s="364"/>
      <c r="C235" s="356"/>
      <c r="D235" s="356"/>
      <c r="E235" s="362"/>
      <c r="F235" s="362"/>
      <c r="G235" s="356"/>
      <c r="H235" s="364"/>
      <c r="I235" s="364"/>
      <c r="J235" s="366"/>
      <c r="K235" s="366"/>
      <c r="L235" s="366"/>
      <c r="M235" s="366"/>
      <c r="N235" s="366"/>
      <c r="O235" s="366"/>
      <c r="P235" s="366"/>
      <c r="Q235" s="366"/>
      <c r="R235" s="369"/>
      <c r="S235" s="369"/>
      <c r="T235" s="366"/>
      <c r="U235" s="427"/>
      <c r="V235" s="427"/>
      <c r="W235" s="372"/>
      <c r="X235" s="373"/>
      <c r="Y235" s="373"/>
      <c r="Z235" s="374"/>
      <c r="AA235" s="374"/>
      <c r="AB235" s="374"/>
      <c r="AC235" s="374"/>
      <c r="AD235" s="369"/>
      <c r="AE235" s="376"/>
      <c r="AF235" s="376"/>
      <c r="AG235" s="376"/>
      <c r="AH235" s="376"/>
      <c r="AI235" s="375"/>
      <c r="AJ235" s="366"/>
      <c r="AK235" s="366"/>
      <c r="AL235" s="366"/>
      <c r="AM235" s="366"/>
      <c r="AN235" s="366"/>
      <c r="AO235" s="366"/>
      <c r="AP235" s="366"/>
      <c r="AQ235" s="366"/>
      <c r="AR235" s="366"/>
      <c r="AS235" s="366"/>
      <c r="AT235" s="366"/>
      <c r="AU235" s="366"/>
      <c r="AV235" s="366"/>
      <c r="AW235" s="366"/>
      <c r="AX235" s="366"/>
      <c r="AY235" s="366"/>
      <c r="AZ235" s="366"/>
      <c r="BA235" s="366"/>
      <c r="BB235" s="366"/>
      <c r="BC235" s="366"/>
      <c r="BD235" s="366"/>
      <c r="BE235" s="366"/>
      <c r="BF235" s="366"/>
      <c r="BG235" s="366"/>
      <c r="BH235" s="366"/>
      <c r="BI235" s="366"/>
      <c r="BJ235" s="366"/>
      <c r="BK235" s="366"/>
      <c r="BL235" s="366"/>
      <c r="BM235" s="366"/>
      <c r="BN235" s="366"/>
      <c r="BO235" s="366"/>
      <c r="BP235" s="366"/>
      <c r="BQ235" s="366"/>
      <c r="BR235" s="366"/>
      <c r="BS235" s="366"/>
      <c r="BT235" s="366"/>
      <c r="BU235" s="366"/>
      <c r="BV235" s="366"/>
      <c r="BW235" s="366"/>
      <c r="BX235" s="366"/>
      <c r="BY235" s="423"/>
      <c r="BZ235" s="423"/>
      <c r="CI235" s="356"/>
      <c r="CJ235" s="356"/>
      <c r="CK235" s="356"/>
      <c r="CP235" s="356"/>
      <c r="CQ235" s="356"/>
      <c r="CR235" s="356"/>
      <c r="CS235" s="356"/>
      <c r="CT235" s="356"/>
      <c r="CU235" s="356"/>
      <c r="CV235" s="356"/>
      <c r="CW235" s="356"/>
      <c r="CX235" s="356"/>
      <c r="CY235" s="356"/>
      <c r="CZ235" s="356"/>
      <c r="DA235" s="356"/>
      <c r="DB235" s="356"/>
      <c r="DC235" s="356"/>
      <c r="DD235" s="356"/>
      <c r="DE235" s="356"/>
      <c r="DF235" s="356"/>
      <c r="DG235" s="356"/>
      <c r="DH235" s="356"/>
      <c r="DI235" s="356"/>
      <c r="DJ235" s="356"/>
      <c r="DK235" s="356"/>
      <c r="DL235" s="356"/>
      <c r="DM235" s="356"/>
      <c r="DN235" s="356"/>
      <c r="DO235" s="356"/>
      <c r="DP235" s="356"/>
      <c r="DQ235" s="356"/>
    </row>
    <row r="236" spans="1:121" hidden="1" outlineLevel="1">
      <c r="A236" s="41"/>
      <c r="B236" s="364"/>
      <c r="C236" s="356"/>
      <c r="D236" s="356"/>
      <c r="E236" s="362"/>
      <c r="F236" s="362"/>
      <c r="G236" s="356"/>
      <c r="H236" s="364"/>
      <c r="I236" s="364"/>
      <c r="J236" s="366"/>
      <c r="K236" s="366"/>
      <c r="L236" s="366"/>
      <c r="M236" s="366"/>
      <c r="N236" s="366"/>
      <c r="O236" s="366"/>
      <c r="P236" s="366"/>
      <c r="Q236" s="366"/>
      <c r="R236" s="369"/>
      <c r="S236" s="369"/>
      <c r="T236" s="366"/>
      <c r="U236" s="427"/>
      <c r="V236" s="427"/>
      <c r="W236" s="372"/>
      <c r="X236" s="373"/>
      <c r="Y236" s="373"/>
      <c r="Z236" s="374"/>
      <c r="AA236" s="374"/>
      <c r="AB236" s="374"/>
      <c r="AC236" s="374"/>
      <c r="AD236" s="369"/>
      <c r="AE236" s="376"/>
      <c r="AF236" s="376"/>
      <c r="AG236" s="376"/>
      <c r="AH236" s="376"/>
      <c r="AI236" s="375"/>
      <c r="AJ236" s="366"/>
      <c r="AK236" s="366"/>
      <c r="AL236" s="366"/>
      <c r="AM236" s="366"/>
      <c r="AN236" s="366"/>
      <c r="AO236" s="366"/>
      <c r="AP236" s="366"/>
      <c r="AQ236" s="366"/>
      <c r="AR236" s="366"/>
      <c r="AS236" s="366"/>
      <c r="AT236" s="366"/>
      <c r="AU236" s="366"/>
      <c r="AV236" s="366"/>
      <c r="AW236" s="366"/>
      <c r="AX236" s="366"/>
      <c r="AY236" s="366"/>
      <c r="AZ236" s="366"/>
      <c r="BA236" s="366"/>
      <c r="BB236" s="366"/>
      <c r="BC236" s="366"/>
      <c r="BD236" s="366"/>
      <c r="BE236" s="366"/>
      <c r="BF236" s="366"/>
      <c r="BG236" s="366"/>
      <c r="BH236" s="366"/>
      <c r="BI236" s="366"/>
      <c r="BJ236" s="366"/>
      <c r="BK236" s="366"/>
      <c r="BL236" s="366"/>
      <c r="BM236" s="366"/>
      <c r="BN236" s="366"/>
      <c r="BO236" s="366"/>
      <c r="BP236" s="366"/>
      <c r="BQ236" s="366"/>
      <c r="BR236" s="366"/>
      <c r="BS236" s="366"/>
      <c r="BT236" s="366"/>
      <c r="BU236" s="366"/>
      <c r="BV236" s="366"/>
      <c r="BW236" s="366"/>
      <c r="BX236" s="366"/>
      <c r="BY236" s="423"/>
      <c r="BZ236" s="423"/>
      <c r="CI236" s="356"/>
      <c r="CJ236" s="356"/>
      <c r="CK236" s="356"/>
      <c r="CP236" s="356"/>
      <c r="CQ236" s="356"/>
      <c r="CR236" s="356"/>
      <c r="CS236" s="356"/>
      <c r="CT236" s="356"/>
      <c r="CU236" s="356"/>
      <c r="CV236" s="356"/>
      <c r="CW236" s="356"/>
      <c r="CX236" s="356"/>
      <c r="CY236" s="356"/>
      <c r="CZ236" s="356"/>
      <c r="DA236" s="356"/>
      <c r="DB236" s="356"/>
      <c r="DC236" s="356"/>
      <c r="DD236" s="356"/>
      <c r="DE236" s="356"/>
      <c r="DF236" s="356"/>
      <c r="DG236" s="356"/>
      <c r="DH236" s="356"/>
      <c r="DI236" s="356"/>
      <c r="DJ236" s="356"/>
      <c r="DK236" s="356"/>
      <c r="DL236" s="356"/>
      <c r="DM236" s="356"/>
      <c r="DN236" s="356"/>
      <c r="DO236" s="356"/>
      <c r="DP236" s="356"/>
      <c r="DQ236" s="356"/>
    </row>
    <row r="237" spans="1:121" hidden="1" outlineLevel="1">
      <c r="A237" s="41"/>
      <c r="B237" s="364"/>
      <c r="C237" s="356"/>
      <c r="D237" s="356"/>
      <c r="E237" s="362"/>
      <c r="F237" s="362"/>
      <c r="G237" s="356"/>
      <c r="H237" s="364"/>
      <c r="I237" s="364"/>
      <c r="J237" s="366"/>
      <c r="K237" s="366"/>
      <c r="L237" s="366"/>
      <c r="M237" s="366"/>
      <c r="N237" s="366"/>
      <c r="O237" s="366"/>
      <c r="P237" s="366"/>
      <c r="Q237" s="366"/>
      <c r="R237" s="369"/>
      <c r="S237" s="369"/>
      <c r="T237" s="366"/>
      <c r="U237" s="427"/>
      <c r="V237" s="427"/>
      <c r="W237" s="372"/>
      <c r="X237" s="373"/>
      <c r="Y237" s="373"/>
      <c r="Z237" s="374"/>
      <c r="AA237" s="374"/>
      <c r="AB237" s="374"/>
      <c r="AC237" s="374"/>
      <c r="AD237" s="369"/>
      <c r="AE237" s="376"/>
      <c r="AF237" s="376"/>
      <c r="AG237" s="376"/>
      <c r="AH237" s="376"/>
      <c r="AI237" s="375"/>
      <c r="AJ237" s="366"/>
      <c r="AK237" s="366"/>
      <c r="AL237" s="366"/>
      <c r="AM237" s="366"/>
      <c r="AN237" s="366"/>
      <c r="AO237" s="366"/>
      <c r="AP237" s="366"/>
      <c r="AQ237" s="366"/>
      <c r="AR237" s="366"/>
      <c r="AS237" s="366"/>
      <c r="AT237" s="366"/>
      <c r="AU237" s="366"/>
      <c r="AV237" s="366"/>
      <c r="AW237" s="366"/>
      <c r="AX237" s="366"/>
      <c r="AY237" s="366"/>
      <c r="AZ237" s="366"/>
      <c r="BA237" s="366"/>
      <c r="BB237" s="366"/>
      <c r="BC237" s="366"/>
      <c r="BD237" s="366"/>
      <c r="BE237" s="366"/>
      <c r="BF237" s="366"/>
      <c r="BG237" s="366"/>
      <c r="BH237" s="366"/>
      <c r="BI237" s="366"/>
      <c r="BJ237" s="366"/>
      <c r="BK237" s="366"/>
      <c r="BL237" s="366"/>
      <c r="BM237" s="366"/>
      <c r="BN237" s="366"/>
      <c r="BO237" s="366"/>
      <c r="BP237" s="366"/>
      <c r="BQ237" s="366"/>
      <c r="BR237" s="366"/>
      <c r="BS237" s="366"/>
      <c r="BT237" s="366"/>
      <c r="BU237" s="366"/>
      <c r="BV237" s="366"/>
      <c r="BW237" s="366"/>
      <c r="BX237" s="366"/>
      <c r="BY237" s="423"/>
      <c r="BZ237" s="423"/>
      <c r="CI237" s="356"/>
      <c r="CJ237" s="356"/>
      <c r="CK237" s="356"/>
      <c r="CP237" s="356"/>
      <c r="CQ237" s="356"/>
      <c r="CR237" s="356"/>
      <c r="CS237" s="356"/>
      <c r="CT237" s="356"/>
      <c r="CU237" s="356"/>
      <c r="CV237" s="356"/>
      <c r="CW237" s="356"/>
      <c r="CX237" s="356"/>
      <c r="CY237" s="356"/>
      <c r="CZ237" s="356"/>
      <c r="DA237" s="356"/>
      <c r="DB237" s="356"/>
      <c r="DC237" s="356"/>
      <c r="DD237" s="356"/>
      <c r="DE237" s="356"/>
      <c r="DF237" s="356"/>
      <c r="DG237" s="356"/>
      <c r="DH237" s="356"/>
      <c r="DI237" s="356"/>
      <c r="DJ237" s="356"/>
      <c r="DK237" s="356"/>
      <c r="DL237" s="356"/>
      <c r="DM237" s="356"/>
      <c r="DN237" s="356"/>
      <c r="DO237" s="356"/>
      <c r="DP237" s="356"/>
      <c r="DQ237" s="356"/>
    </row>
    <row r="238" spans="1:121" hidden="1" outlineLevel="1">
      <c r="A238" s="41"/>
      <c r="B238" s="364"/>
      <c r="C238" s="356"/>
      <c r="D238" s="356"/>
      <c r="E238" s="362"/>
      <c r="F238" s="362"/>
      <c r="G238" s="356"/>
      <c r="H238" s="364"/>
      <c r="I238" s="364"/>
      <c r="J238" s="366"/>
      <c r="K238" s="366"/>
      <c r="L238" s="366"/>
      <c r="M238" s="366"/>
      <c r="N238" s="366"/>
      <c r="O238" s="366"/>
      <c r="P238" s="366"/>
      <c r="Q238" s="366"/>
      <c r="R238" s="369"/>
      <c r="S238" s="369"/>
      <c r="T238" s="366"/>
      <c r="U238" s="427"/>
      <c r="V238" s="427"/>
      <c r="W238" s="372"/>
      <c r="X238" s="373"/>
      <c r="Y238" s="373"/>
      <c r="Z238" s="374"/>
      <c r="AA238" s="374"/>
      <c r="AB238" s="374"/>
      <c r="AC238" s="374"/>
      <c r="AD238" s="369"/>
      <c r="AE238" s="376"/>
      <c r="AF238" s="376"/>
      <c r="AG238" s="376"/>
      <c r="AH238" s="376"/>
      <c r="AI238" s="375"/>
      <c r="AJ238" s="366"/>
      <c r="AK238" s="366"/>
      <c r="AL238" s="366"/>
      <c r="AM238" s="366"/>
      <c r="AN238" s="366"/>
      <c r="AO238" s="366"/>
      <c r="AP238" s="366"/>
      <c r="AQ238" s="366"/>
      <c r="AR238" s="366"/>
      <c r="AS238" s="366"/>
      <c r="AT238" s="366"/>
      <c r="AU238" s="366"/>
      <c r="AV238" s="366"/>
      <c r="AW238" s="366"/>
      <c r="AX238" s="366"/>
      <c r="AY238" s="366"/>
      <c r="AZ238" s="366"/>
      <c r="BA238" s="366"/>
      <c r="BB238" s="366"/>
      <c r="BC238" s="366"/>
      <c r="BD238" s="366"/>
      <c r="BE238" s="366"/>
      <c r="BF238" s="366"/>
      <c r="BG238" s="366"/>
      <c r="BH238" s="366"/>
      <c r="BI238" s="366"/>
      <c r="BJ238" s="366"/>
      <c r="BK238" s="366"/>
      <c r="BL238" s="366"/>
      <c r="BM238" s="366"/>
      <c r="BN238" s="366"/>
      <c r="BO238" s="366"/>
      <c r="BP238" s="366"/>
      <c r="BQ238" s="366"/>
      <c r="BR238" s="366"/>
      <c r="BS238" s="366"/>
      <c r="BT238" s="366"/>
      <c r="BU238" s="366"/>
      <c r="BV238" s="366"/>
      <c r="BW238" s="366"/>
      <c r="BX238" s="366"/>
      <c r="BY238" s="423"/>
      <c r="BZ238" s="423"/>
      <c r="CI238" s="356"/>
      <c r="CJ238" s="356"/>
      <c r="CK238" s="356"/>
      <c r="CP238" s="356"/>
      <c r="CQ238" s="356"/>
      <c r="CR238" s="356"/>
      <c r="CS238" s="356"/>
      <c r="CT238" s="356"/>
      <c r="CU238" s="356"/>
      <c r="CV238" s="356"/>
      <c r="CW238" s="356"/>
      <c r="CX238" s="356"/>
      <c r="CY238" s="356"/>
      <c r="CZ238" s="356"/>
      <c r="DA238" s="356"/>
      <c r="DB238" s="356"/>
      <c r="DC238" s="356"/>
      <c r="DD238" s="356"/>
      <c r="DE238" s="356"/>
      <c r="DF238" s="356"/>
      <c r="DG238" s="356"/>
      <c r="DH238" s="356"/>
      <c r="DI238" s="356"/>
      <c r="DJ238" s="356"/>
      <c r="DK238" s="356"/>
      <c r="DL238" s="356"/>
      <c r="DM238" s="356"/>
      <c r="DN238" s="356"/>
      <c r="DO238" s="356"/>
      <c r="DP238" s="356"/>
      <c r="DQ238" s="356"/>
    </row>
    <row r="239" spans="1:121" hidden="1" outlineLevel="1">
      <c r="A239" s="41"/>
      <c r="B239" s="364"/>
      <c r="C239" s="356"/>
      <c r="D239" s="356"/>
      <c r="E239" s="362"/>
      <c r="F239" s="362"/>
      <c r="G239" s="356"/>
      <c r="H239" s="364"/>
      <c r="I239" s="364"/>
      <c r="J239" s="366"/>
      <c r="K239" s="366"/>
      <c r="L239" s="366"/>
      <c r="M239" s="366"/>
      <c r="N239" s="366"/>
      <c r="O239" s="366"/>
      <c r="P239" s="366"/>
      <c r="Q239" s="366"/>
      <c r="R239" s="369"/>
      <c r="S239" s="369"/>
      <c r="T239" s="366"/>
      <c r="U239" s="427"/>
      <c r="V239" s="427"/>
      <c r="W239" s="372"/>
      <c r="X239" s="373"/>
      <c r="Y239" s="373"/>
      <c r="Z239" s="374"/>
      <c r="AA239" s="374"/>
      <c r="AB239" s="374"/>
      <c r="AC239" s="374"/>
      <c r="AD239" s="369"/>
      <c r="AE239" s="376"/>
      <c r="AF239" s="376"/>
      <c r="AG239" s="376"/>
      <c r="AH239" s="376"/>
      <c r="AI239" s="375"/>
      <c r="AJ239" s="366"/>
      <c r="AK239" s="366"/>
      <c r="AL239" s="366"/>
      <c r="AM239" s="366"/>
      <c r="AN239" s="366"/>
      <c r="AO239" s="366"/>
      <c r="AP239" s="366"/>
      <c r="AQ239" s="366"/>
      <c r="AR239" s="366"/>
      <c r="AS239" s="366"/>
      <c r="AT239" s="366"/>
      <c r="AU239" s="366"/>
      <c r="AV239" s="366"/>
      <c r="AW239" s="366"/>
      <c r="AX239" s="366"/>
      <c r="AY239" s="366"/>
      <c r="AZ239" s="366"/>
      <c r="BA239" s="366"/>
      <c r="BB239" s="366"/>
      <c r="BC239" s="366"/>
      <c r="BD239" s="366"/>
      <c r="BE239" s="366"/>
      <c r="BF239" s="366"/>
      <c r="BG239" s="366"/>
      <c r="BH239" s="366"/>
      <c r="BI239" s="366"/>
      <c r="BJ239" s="366"/>
      <c r="BK239" s="366"/>
      <c r="BL239" s="366"/>
      <c r="BM239" s="366"/>
      <c r="BN239" s="366"/>
      <c r="BO239" s="366"/>
      <c r="BP239" s="366"/>
      <c r="BQ239" s="366"/>
      <c r="BR239" s="366"/>
      <c r="BS239" s="366"/>
      <c r="BT239" s="366"/>
      <c r="BU239" s="366"/>
      <c r="BV239" s="366"/>
      <c r="BW239" s="366"/>
      <c r="BX239" s="366"/>
      <c r="BY239" s="423"/>
      <c r="BZ239" s="423"/>
      <c r="CI239" s="356"/>
      <c r="CJ239" s="356"/>
      <c r="CK239" s="356"/>
      <c r="CP239" s="356"/>
      <c r="CQ239" s="356"/>
      <c r="CR239" s="356"/>
      <c r="CS239" s="356"/>
      <c r="CT239" s="356"/>
      <c r="CU239" s="356"/>
      <c r="CV239" s="356"/>
      <c r="CW239" s="356"/>
      <c r="CX239" s="356"/>
      <c r="CY239" s="356"/>
      <c r="CZ239" s="356"/>
      <c r="DA239" s="356"/>
      <c r="DB239" s="356"/>
      <c r="DC239" s="356"/>
      <c r="DD239" s="356"/>
      <c r="DE239" s="356"/>
      <c r="DF239" s="356"/>
      <c r="DG239" s="356"/>
      <c r="DH239" s="356"/>
      <c r="DI239" s="356"/>
      <c r="DJ239" s="356"/>
      <c r="DK239" s="356"/>
      <c r="DL239" s="356"/>
      <c r="DM239" s="356"/>
      <c r="DN239" s="356"/>
      <c r="DO239" s="356"/>
      <c r="DP239" s="356"/>
      <c r="DQ239" s="356"/>
    </row>
    <row r="240" spans="1:121" hidden="1" outlineLevel="1">
      <c r="A240" s="41"/>
      <c r="B240" s="364"/>
      <c r="C240" s="356"/>
      <c r="D240" s="356"/>
      <c r="E240" s="362"/>
      <c r="F240" s="362"/>
      <c r="G240" s="356"/>
      <c r="H240" s="364"/>
      <c r="I240" s="364"/>
      <c r="J240" s="366"/>
      <c r="K240" s="366"/>
      <c r="L240" s="366"/>
      <c r="M240" s="366"/>
      <c r="N240" s="366"/>
      <c r="O240" s="366"/>
      <c r="P240" s="366"/>
      <c r="Q240" s="366"/>
      <c r="R240" s="369"/>
      <c r="S240" s="369"/>
      <c r="T240" s="366"/>
      <c r="U240" s="427"/>
      <c r="V240" s="427"/>
      <c r="W240" s="372"/>
      <c r="X240" s="373"/>
      <c r="Y240" s="373"/>
      <c r="Z240" s="374"/>
      <c r="AA240" s="374"/>
      <c r="AB240" s="374"/>
      <c r="AC240" s="374"/>
      <c r="AD240" s="369"/>
      <c r="AE240" s="376"/>
      <c r="AF240" s="376"/>
      <c r="AG240" s="376"/>
      <c r="AH240" s="376"/>
      <c r="AI240" s="375"/>
      <c r="AJ240" s="366"/>
      <c r="AK240" s="366"/>
      <c r="AL240" s="366"/>
      <c r="AM240" s="366"/>
      <c r="AN240" s="366"/>
      <c r="AO240" s="366"/>
      <c r="AP240" s="366"/>
      <c r="AQ240" s="366"/>
      <c r="AR240" s="366"/>
      <c r="AS240" s="366"/>
      <c r="AT240" s="366"/>
      <c r="AU240" s="366"/>
      <c r="AV240" s="366"/>
      <c r="AW240" s="366"/>
      <c r="AX240" s="366"/>
      <c r="AY240" s="366"/>
      <c r="AZ240" s="366"/>
      <c r="BA240" s="366"/>
      <c r="BB240" s="366"/>
      <c r="BC240" s="366"/>
      <c r="BD240" s="366"/>
      <c r="BE240" s="366"/>
      <c r="BF240" s="366"/>
      <c r="BG240" s="366"/>
      <c r="BH240" s="366"/>
      <c r="BI240" s="366"/>
      <c r="BJ240" s="366"/>
      <c r="BK240" s="366"/>
      <c r="BL240" s="366"/>
      <c r="BM240" s="366"/>
      <c r="BN240" s="366"/>
      <c r="BO240" s="366"/>
      <c r="BP240" s="366"/>
      <c r="BQ240" s="366"/>
      <c r="BR240" s="366"/>
      <c r="BS240" s="366"/>
      <c r="BT240" s="366"/>
      <c r="BU240" s="366"/>
      <c r="BV240" s="366"/>
      <c r="BW240" s="366"/>
      <c r="BX240" s="366"/>
      <c r="BY240" s="423"/>
      <c r="BZ240" s="423"/>
      <c r="CI240" s="356"/>
      <c r="CJ240" s="356"/>
      <c r="CK240" s="356"/>
      <c r="CP240" s="356"/>
      <c r="CQ240" s="356"/>
      <c r="CR240" s="356"/>
      <c r="CS240" s="356"/>
      <c r="CT240" s="356"/>
      <c r="CU240" s="356"/>
      <c r="CV240" s="356"/>
      <c r="CW240" s="356"/>
      <c r="CX240" s="356"/>
      <c r="CY240" s="356"/>
      <c r="CZ240" s="356"/>
      <c r="DA240" s="356"/>
      <c r="DB240" s="356"/>
      <c r="DC240" s="356"/>
      <c r="DD240" s="356"/>
      <c r="DE240" s="356"/>
      <c r="DF240" s="356"/>
      <c r="DG240" s="356"/>
      <c r="DH240" s="356"/>
      <c r="DI240" s="356"/>
      <c r="DJ240" s="356"/>
      <c r="DK240" s="356"/>
      <c r="DL240" s="356"/>
      <c r="DM240" s="356"/>
      <c r="DN240" s="356"/>
      <c r="DO240" s="356"/>
      <c r="DP240" s="356"/>
      <c r="DQ240" s="356"/>
    </row>
    <row r="241" spans="1:122" hidden="1" outlineLevel="1">
      <c r="A241" s="41"/>
      <c r="B241" s="364"/>
      <c r="C241" s="356"/>
      <c r="D241" s="356"/>
      <c r="E241" s="362"/>
      <c r="F241" s="362"/>
      <c r="G241" s="356"/>
      <c r="H241" s="364"/>
      <c r="I241" s="364"/>
      <c r="J241" s="366"/>
      <c r="K241" s="366"/>
      <c r="L241" s="366"/>
      <c r="M241" s="366"/>
      <c r="N241" s="366"/>
      <c r="O241" s="366"/>
      <c r="P241" s="366"/>
      <c r="Q241" s="366"/>
      <c r="R241" s="369"/>
      <c r="S241" s="369"/>
      <c r="T241" s="366"/>
      <c r="U241" s="427"/>
      <c r="V241" s="427"/>
      <c r="W241" s="372"/>
      <c r="X241" s="373"/>
      <c r="Y241" s="373"/>
      <c r="Z241" s="374"/>
      <c r="AA241" s="374"/>
      <c r="AB241" s="374"/>
      <c r="AC241" s="374"/>
      <c r="AD241" s="369"/>
      <c r="AE241" s="376"/>
      <c r="AF241" s="376"/>
      <c r="AG241" s="376"/>
      <c r="AH241" s="376"/>
      <c r="AI241" s="375"/>
      <c r="AJ241" s="366"/>
      <c r="AK241" s="366"/>
      <c r="AL241" s="366"/>
      <c r="AM241" s="366"/>
      <c r="AN241" s="366"/>
      <c r="AO241" s="366"/>
      <c r="AP241" s="366"/>
      <c r="AQ241" s="366"/>
      <c r="AR241" s="366"/>
      <c r="AS241" s="366"/>
      <c r="AT241" s="366"/>
      <c r="AU241" s="366"/>
      <c r="AV241" s="366"/>
      <c r="AW241" s="366"/>
      <c r="AX241" s="366"/>
      <c r="AY241" s="366"/>
      <c r="AZ241" s="366"/>
      <c r="BA241" s="366"/>
      <c r="BB241" s="366"/>
      <c r="BC241" s="366"/>
      <c r="BD241" s="366"/>
      <c r="BE241" s="366"/>
      <c r="BF241" s="366"/>
      <c r="BG241" s="366"/>
      <c r="BH241" s="366"/>
      <c r="BI241" s="366"/>
      <c r="BJ241" s="366"/>
      <c r="BK241" s="366"/>
      <c r="BL241" s="366"/>
      <c r="BM241" s="366"/>
      <c r="BN241" s="366"/>
      <c r="BO241" s="366"/>
      <c r="BP241" s="366"/>
      <c r="BQ241" s="366"/>
      <c r="BR241" s="366"/>
      <c r="BS241" s="366"/>
      <c r="BT241" s="366"/>
      <c r="BU241" s="366"/>
      <c r="BV241" s="366"/>
      <c r="BW241" s="366"/>
      <c r="BX241" s="366"/>
      <c r="BY241" s="423"/>
      <c r="BZ241" s="423"/>
      <c r="CI241" s="356"/>
      <c r="CJ241" s="356"/>
      <c r="CK241" s="356"/>
      <c r="CP241" s="356"/>
      <c r="CQ241" s="356"/>
      <c r="CR241" s="356"/>
      <c r="CS241" s="356"/>
      <c r="CT241" s="356"/>
      <c r="CU241" s="356"/>
      <c r="CV241" s="356"/>
      <c r="CW241" s="356"/>
      <c r="CX241" s="356"/>
      <c r="CY241" s="356"/>
      <c r="CZ241" s="356"/>
      <c r="DA241" s="356"/>
      <c r="DB241" s="356"/>
      <c r="DC241" s="356"/>
      <c r="DD241" s="356"/>
      <c r="DE241" s="356"/>
      <c r="DF241" s="356"/>
      <c r="DG241" s="356"/>
      <c r="DH241" s="356"/>
      <c r="DI241" s="356"/>
      <c r="DJ241" s="356"/>
      <c r="DK241" s="356"/>
      <c r="DL241" s="356"/>
      <c r="DM241" s="356"/>
      <c r="DN241" s="356"/>
      <c r="DO241" s="356"/>
      <c r="DP241" s="356"/>
      <c r="DQ241" s="356"/>
    </row>
    <row r="242" spans="1:122" hidden="1" outlineLevel="1">
      <c r="A242" s="41"/>
      <c r="B242" s="364"/>
      <c r="C242" s="356"/>
      <c r="D242" s="356"/>
      <c r="E242" s="362"/>
      <c r="F242" s="362"/>
      <c r="G242" s="356"/>
      <c r="H242" s="364"/>
      <c r="I242" s="364"/>
      <c r="J242" s="366"/>
      <c r="K242" s="366"/>
      <c r="L242" s="366"/>
      <c r="M242" s="366"/>
      <c r="N242" s="366"/>
      <c r="O242" s="366"/>
      <c r="P242" s="366"/>
      <c r="Q242" s="366"/>
      <c r="R242" s="369"/>
      <c r="S242" s="369"/>
      <c r="T242" s="366"/>
      <c r="U242" s="427"/>
      <c r="V242" s="427"/>
      <c r="W242" s="372"/>
      <c r="X242" s="373"/>
      <c r="Y242" s="373"/>
      <c r="Z242" s="374"/>
      <c r="AA242" s="374"/>
      <c r="AB242" s="374"/>
      <c r="AC242" s="374"/>
      <c r="AD242" s="369"/>
      <c r="AE242" s="376"/>
      <c r="AF242" s="376"/>
      <c r="AG242" s="376"/>
      <c r="AH242" s="376"/>
      <c r="AI242" s="375"/>
      <c r="AJ242" s="366"/>
      <c r="AK242" s="366"/>
      <c r="AL242" s="366"/>
      <c r="AM242" s="366"/>
      <c r="AN242" s="366"/>
      <c r="AO242" s="366"/>
      <c r="AP242" s="366"/>
      <c r="AQ242" s="366"/>
      <c r="AR242" s="366"/>
      <c r="AS242" s="366"/>
      <c r="AT242" s="366"/>
      <c r="AU242" s="366"/>
      <c r="AV242" s="366"/>
      <c r="AW242" s="366"/>
      <c r="AX242" s="366"/>
      <c r="AY242" s="366"/>
      <c r="AZ242" s="366"/>
      <c r="BA242" s="366"/>
      <c r="BB242" s="366"/>
      <c r="BC242" s="366"/>
      <c r="BD242" s="366"/>
      <c r="BE242" s="366"/>
      <c r="BF242" s="366"/>
      <c r="BG242" s="366"/>
      <c r="BH242" s="366"/>
      <c r="BI242" s="366"/>
      <c r="BJ242" s="366"/>
      <c r="BK242" s="366"/>
      <c r="BL242" s="366"/>
      <c r="BM242" s="366"/>
      <c r="BN242" s="366"/>
      <c r="BO242" s="366"/>
      <c r="BP242" s="366"/>
      <c r="BQ242" s="366"/>
      <c r="BR242" s="366"/>
      <c r="BS242" s="366"/>
      <c r="BT242" s="366"/>
      <c r="BU242" s="366"/>
      <c r="BV242" s="366"/>
      <c r="BW242" s="366"/>
      <c r="BX242" s="366"/>
      <c r="BY242" s="423"/>
      <c r="BZ242" s="423"/>
      <c r="CI242" s="356"/>
      <c r="CJ242" s="356"/>
      <c r="CK242" s="356"/>
      <c r="CP242" s="356"/>
      <c r="CQ242" s="356"/>
      <c r="CR242" s="356"/>
      <c r="CS242" s="356"/>
      <c r="CT242" s="356"/>
      <c r="CU242" s="356"/>
      <c r="CV242" s="356"/>
      <c r="CW242" s="356"/>
      <c r="CX242" s="356"/>
      <c r="CY242" s="356"/>
      <c r="CZ242" s="356"/>
      <c r="DA242" s="356"/>
      <c r="DB242" s="356"/>
      <c r="DC242" s="356"/>
      <c r="DD242" s="356"/>
      <c r="DE242" s="356"/>
      <c r="DF242" s="356"/>
      <c r="DG242" s="356"/>
      <c r="DH242" s="356"/>
      <c r="DI242" s="356"/>
      <c r="DJ242" s="356"/>
      <c r="DK242" s="356"/>
      <c r="DL242" s="356"/>
      <c r="DM242" s="356"/>
      <c r="DN242" s="356"/>
      <c r="DO242" s="356"/>
      <c r="DP242" s="356"/>
      <c r="DQ242" s="356"/>
    </row>
    <row r="243" spans="1:122" hidden="1" outlineLevel="1">
      <c r="A243" s="41"/>
      <c r="B243" s="364"/>
      <c r="C243" s="356"/>
      <c r="D243" s="356"/>
      <c r="E243" s="362"/>
      <c r="F243" s="362"/>
      <c r="G243" s="356"/>
      <c r="H243" s="364"/>
      <c r="I243" s="364"/>
      <c r="J243" s="366"/>
      <c r="K243" s="366"/>
      <c r="L243" s="366"/>
      <c r="M243" s="366"/>
      <c r="N243" s="366"/>
      <c r="O243" s="366"/>
      <c r="P243" s="366"/>
      <c r="Q243" s="366"/>
      <c r="R243" s="369"/>
      <c r="S243" s="369"/>
      <c r="T243" s="366"/>
      <c r="U243" s="427"/>
      <c r="V243" s="427"/>
      <c r="W243" s="372"/>
      <c r="X243" s="373"/>
      <c r="Y243" s="373"/>
      <c r="Z243" s="374"/>
      <c r="AA243" s="374"/>
      <c r="AB243" s="374"/>
      <c r="AC243" s="374"/>
      <c r="AD243" s="369"/>
      <c r="AE243" s="376"/>
      <c r="AF243" s="376"/>
      <c r="AG243" s="376"/>
      <c r="AH243" s="376"/>
      <c r="AI243" s="375"/>
      <c r="AJ243" s="366"/>
      <c r="AK243" s="366"/>
      <c r="AL243" s="366"/>
      <c r="AM243" s="366"/>
      <c r="AN243" s="366"/>
      <c r="AO243" s="366"/>
      <c r="AP243" s="366"/>
      <c r="AQ243" s="366"/>
      <c r="AR243" s="366"/>
      <c r="AS243" s="366"/>
      <c r="AT243" s="366"/>
      <c r="AU243" s="366"/>
      <c r="AV243" s="366"/>
      <c r="AW243" s="366"/>
      <c r="AX243" s="366"/>
      <c r="AY243" s="366"/>
      <c r="AZ243" s="366"/>
      <c r="BA243" s="366"/>
      <c r="BB243" s="366"/>
      <c r="BC243" s="366"/>
      <c r="BD243" s="366"/>
      <c r="BE243" s="366"/>
      <c r="BF243" s="366"/>
      <c r="BG243" s="366"/>
      <c r="BH243" s="366"/>
      <c r="BI243" s="366"/>
      <c r="BJ243" s="366"/>
      <c r="BK243" s="366"/>
      <c r="BL243" s="366"/>
      <c r="BM243" s="366"/>
      <c r="BN243" s="366"/>
      <c r="BO243" s="366"/>
      <c r="BP243" s="366"/>
      <c r="BQ243" s="366"/>
      <c r="BR243" s="366"/>
      <c r="BS243" s="366"/>
      <c r="BT243" s="366"/>
      <c r="BU243" s="366"/>
      <c r="BV243" s="366"/>
      <c r="BW243" s="366"/>
      <c r="BX243" s="366"/>
      <c r="BY243" s="423"/>
      <c r="BZ243" s="423"/>
      <c r="CI243" s="356"/>
      <c r="CJ243" s="356"/>
      <c r="CK243" s="356"/>
      <c r="CP243" s="356"/>
      <c r="CQ243" s="356"/>
      <c r="CR243" s="356"/>
      <c r="CS243" s="356"/>
      <c r="CT243" s="356"/>
      <c r="CU243" s="356"/>
      <c r="CV243" s="356"/>
      <c r="CW243" s="356"/>
      <c r="CX243" s="356"/>
      <c r="CY243" s="356"/>
      <c r="CZ243" s="356"/>
      <c r="DA243" s="356"/>
      <c r="DB243" s="356"/>
      <c r="DC243" s="356"/>
      <c r="DD243" s="356"/>
      <c r="DE243" s="356"/>
      <c r="DF243" s="356"/>
      <c r="DG243" s="356"/>
      <c r="DH243" s="356"/>
      <c r="DI243" s="356"/>
      <c r="DJ243" s="356"/>
      <c r="DK243" s="356"/>
      <c r="DL243" s="356"/>
      <c r="DM243" s="356"/>
      <c r="DN243" s="356"/>
      <c r="DO243" s="356"/>
      <c r="DP243" s="356"/>
      <c r="DQ243" s="356"/>
    </row>
    <row r="244" spans="1:122" hidden="1" outlineLevel="1">
      <c r="A244" s="41"/>
      <c r="B244" s="364"/>
      <c r="C244" s="356"/>
      <c r="D244" s="356"/>
      <c r="E244" s="362"/>
      <c r="F244" s="362"/>
      <c r="G244" s="356"/>
      <c r="H244" s="364"/>
      <c r="I244" s="364"/>
      <c r="J244" s="366"/>
      <c r="K244" s="366"/>
      <c r="L244" s="366"/>
      <c r="M244" s="366"/>
      <c r="N244" s="366"/>
      <c r="O244" s="366"/>
      <c r="P244" s="366"/>
      <c r="Q244" s="366"/>
      <c r="R244" s="369"/>
      <c r="S244" s="369"/>
      <c r="T244" s="366"/>
      <c r="U244" s="427"/>
      <c r="V244" s="427"/>
      <c r="W244" s="372"/>
      <c r="X244" s="373"/>
      <c r="Y244" s="373"/>
      <c r="Z244" s="374"/>
      <c r="AA244" s="374"/>
      <c r="AB244" s="374"/>
      <c r="AC244" s="374"/>
      <c r="AD244" s="369"/>
      <c r="AE244" s="376"/>
      <c r="AF244" s="376"/>
      <c r="AG244" s="376"/>
      <c r="AH244" s="376"/>
      <c r="AI244" s="375"/>
      <c r="AJ244" s="366"/>
      <c r="AK244" s="366"/>
      <c r="AL244" s="366"/>
      <c r="AM244" s="366"/>
      <c r="AN244" s="366"/>
      <c r="AO244" s="366"/>
      <c r="AP244" s="366"/>
      <c r="AQ244" s="366"/>
      <c r="AR244" s="366"/>
      <c r="AS244" s="366"/>
      <c r="AT244" s="366"/>
      <c r="AU244" s="366"/>
      <c r="AV244" s="366"/>
      <c r="AW244" s="366"/>
      <c r="AX244" s="366"/>
      <c r="AY244" s="366"/>
      <c r="AZ244" s="366"/>
      <c r="BA244" s="366"/>
      <c r="BB244" s="366"/>
      <c r="BC244" s="366"/>
      <c r="BD244" s="366"/>
      <c r="BE244" s="366"/>
      <c r="BF244" s="366"/>
      <c r="BG244" s="366"/>
      <c r="BH244" s="366"/>
      <c r="BI244" s="366"/>
      <c r="BJ244" s="366"/>
      <c r="BK244" s="366"/>
      <c r="BL244" s="366"/>
      <c r="BM244" s="366"/>
      <c r="BN244" s="366"/>
      <c r="BO244" s="366"/>
      <c r="BP244" s="366"/>
      <c r="BQ244" s="366"/>
      <c r="BR244" s="366"/>
      <c r="BS244" s="366"/>
      <c r="BT244" s="366"/>
      <c r="BU244" s="366"/>
      <c r="BV244" s="366"/>
      <c r="BW244" s="366"/>
      <c r="BX244" s="366"/>
      <c r="BY244" s="423"/>
      <c r="BZ244" s="423"/>
      <c r="CI244" s="356"/>
      <c r="CJ244" s="356"/>
      <c r="CK244" s="356"/>
      <c r="CP244" s="356"/>
      <c r="CQ244" s="356"/>
      <c r="CR244" s="356"/>
      <c r="CS244" s="356"/>
      <c r="CT244" s="356"/>
      <c r="CU244" s="356"/>
      <c r="CV244" s="356"/>
      <c r="CW244" s="356"/>
      <c r="CX244" s="356"/>
      <c r="CY244" s="356"/>
      <c r="CZ244" s="356"/>
      <c r="DA244" s="356"/>
      <c r="DB244" s="356"/>
      <c r="DC244" s="356"/>
      <c r="DD244" s="356"/>
      <c r="DE244" s="356"/>
      <c r="DF244" s="356"/>
      <c r="DG244" s="356"/>
      <c r="DH244" s="356"/>
      <c r="DI244" s="356"/>
      <c r="DJ244" s="356"/>
      <c r="DK244" s="356"/>
      <c r="DL244" s="356"/>
      <c r="DM244" s="356"/>
      <c r="DN244" s="356"/>
      <c r="DO244" s="356"/>
      <c r="DP244" s="356"/>
      <c r="DQ244" s="356"/>
    </row>
    <row r="245" spans="1:122" hidden="1" outlineLevel="1">
      <c r="A245" s="41"/>
      <c r="B245" s="364"/>
      <c r="C245" s="356"/>
      <c r="D245" s="356"/>
      <c r="E245" s="362"/>
      <c r="F245" s="362"/>
      <c r="G245" s="356"/>
      <c r="H245" s="364"/>
      <c r="I245" s="364"/>
      <c r="J245" s="366"/>
      <c r="K245" s="366"/>
      <c r="L245" s="366"/>
      <c r="M245" s="366"/>
      <c r="N245" s="366"/>
      <c r="O245" s="366"/>
      <c r="P245" s="366"/>
      <c r="Q245" s="366"/>
      <c r="R245" s="369"/>
      <c r="S245" s="369"/>
      <c r="T245" s="366"/>
      <c r="U245" s="427"/>
      <c r="V245" s="427"/>
      <c r="W245" s="372"/>
      <c r="X245" s="373"/>
      <c r="Y245" s="373"/>
      <c r="Z245" s="374"/>
      <c r="AA245" s="374"/>
      <c r="AB245" s="374"/>
      <c r="AC245" s="374"/>
      <c r="AD245" s="369"/>
      <c r="AE245" s="376"/>
      <c r="AF245" s="376"/>
      <c r="AG245" s="376"/>
      <c r="AH245" s="376"/>
      <c r="AI245" s="375"/>
      <c r="AJ245" s="366"/>
      <c r="AK245" s="366"/>
      <c r="AL245" s="366"/>
      <c r="AM245" s="366"/>
      <c r="AN245" s="366"/>
      <c r="AO245" s="366"/>
      <c r="AP245" s="366"/>
      <c r="AQ245" s="366"/>
      <c r="AR245" s="366"/>
      <c r="AS245" s="366"/>
      <c r="AT245" s="366"/>
      <c r="AU245" s="366"/>
      <c r="AV245" s="366"/>
      <c r="AW245" s="366"/>
      <c r="AX245" s="366"/>
      <c r="AY245" s="366"/>
      <c r="AZ245" s="366"/>
      <c r="BA245" s="366"/>
      <c r="BB245" s="366"/>
      <c r="BC245" s="366"/>
      <c r="BD245" s="366"/>
      <c r="BE245" s="366"/>
      <c r="BF245" s="366"/>
      <c r="BG245" s="366"/>
      <c r="BH245" s="366"/>
      <c r="BI245" s="366"/>
      <c r="BJ245" s="366"/>
      <c r="BK245" s="366"/>
      <c r="BL245" s="366"/>
      <c r="BM245" s="366"/>
      <c r="BN245" s="366"/>
      <c r="BO245" s="366"/>
      <c r="BP245" s="366"/>
      <c r="BQ245" s="366"/>
      <c r="BR245" s="366"/>
      <c r="BS245" s="366"/>
      <c r="BT245" s="366"/>
      <c r="BU245" s="366"/>
      <c r="BV245" s="366"/>
      <c r="BW245" s="366"/>
      <c r="BX245" s="366"/>
      <c r="BY245" s="423"/>
      <c r="BZ245" s="423"/>
      <c r="CI245" s="356"/>
      <c r="CJ245" s="356"/>
      <c r="CK245" s="356"/>
      <c r="CP245" s="356"/>
      <c r="CQ245" s="356"/>
      <c r="CR245" s="356"/>
      <c r="CS245" s="356"/>
      <c r="CT245" s="356"/>
      <c r="CU245" s="356"/>
      <c r="CV245" s="356"/>
      <c r="CW245" s="356"/>
      <c r="CX245" s="356"/>
      <c r="CY245" s="356"/>
      <c r="CZ245" s="356"/>
      <c r="DA245" s="356"/>
      <c r="DB245" s="356"/>
      <c r="DC245" s="356"/>
      <c r="DD245" s="356"/>
      <c r="DE245" s="356"/>
      <c r="DF245" s="356"/>
      <c r="DG245" s="356"/>
      <c r="DH245" s="356"/>
      <c r="DI245" s="356"/>
      <c r="DJ245" s="356"/>
      <c r="DK245" s="356"/>
      <c r="DL245" s="356"/>
      <c r="DM245" s="356"/>
      <c r="DN245" s="356"/>
      <c r="DO245" s="356"/>
      <c r="DP245" s="356"/>
      <c r="DQ245" s="356"/>
    </row>
    <row r="246" spans="1:122" hidden="1" outlineLevel="1">
      <c r="A246" s="41"/>
      <c r="B246" s="364"/>
      <c r="C246" s="356"/>
      <c r="D246" s="356"/>
      <c r="E246" s="362"/>
      <c r="F246" s="362"/>
      <c r="G246" s="356"/>
      <c r="H246" s="364"/>
      <c r="I246" s="364"/>
      <c r="J246" s="366"/>
      <c r="K246" s="366"/>
      <c r="L246" s="366"/>
      <c r="M246" s="366"/>
      <c r="N246" s="366"/>
      <c r="O246" s="366"/>
      <c r="P246" s="366"/>
      <c r="Q246" s="366"/>
      <c r="R246" s="369"/>
      <c r="S246" s="369"/>
      <c r="T246" s="366"/>
      <c r="U246" s="427"/>
      <c r="V246" s="427"/>
      <c r="W246" s="372"/>
      <c r="X246" s="373"/>
      <c r="Y246" s="373"/>
      <c r="Z246" s="374"/>
      <c r="AA246" s="374"/>
      <c r="AB246" s="374"/>
      <c r="AC246" s="374"/>
      <c r="AD246" s="369"/>
      <c r="AE246" s="376"/>
      <c r="AF246" s="376"/>
      <c r="AG246" s="376"/>
      <c r="AH246" s="376"/>
      <c r="AI246" s="375"/>
      <c r="AJ246" s="366"/>
      <c r="AK246" s="366"/>
      <c r="AL246" s="366"/>
      <c r="AM246" s="366"/>
      <c r="AN246" s="366"/>
      <c r="AO246" s="366"/>
      <c r="AP246" s="366"/>
      <c r="AQ246" s="366"/>
      <c r="AR246" s="366"/>
      <c r="AS246" s="366"/>
      <c r="AT246" s="366"/>
      <c r="AU246" s="366"/>
      <c r="AV246" s="366"/>
      <c r="AW246" s="366"/>
      <c r="AX246" s="366"/>
      <c r="AY246" s="366"/>
      <c r="AZ246" s="366"/>
      <c r="BA246" s="366"/>
      <c r="BB246" s="366"/>
      <c r="BC246" s="366"/>
      <c r="BD246" s="366"/>
      <c r="BE246" s="366"/>
      <c r="BF246" s="366"/>
      <c r="BG246" s="366"/>
      <c r="BH246" s="366"/>
      <c r="BI246" s="366"/>
      <c r="BJ246" s="366"/>
      <c r="BK246" s="366"/>
      <c r="BL246" s="366"/>
      <c r="BM246" s="366"/>
      <c r="BN246" s="366"/>
      <c r="BO246" s="366"/>
      <c r="BP246" s="366"/>
      <c r="BQ246" s="366"/>
      <c r="BR246" s="366"/>
      <c r="BS246" s="366"/>
      <c r="BT246" s="366"/>
      <c r="BU246" s="366"/>
      <c r="BV246" s="366"/>
      <c r="BW246" s="366"/>
      <c r="BX246" s="366"/>
      <c r="BY246" s="423"/>
      <c r="BZ246" s="423"/>
      <c r="CI246" s="356"/>
      <c r="CJ246" s="356"/>
      <c r="CK246" s="356"/>
      <c r="CP246" s="356"/>
      <c r="CQ246" s="356"/>
      <c r="CR246" s="356"/>
      <c r="CS246" s="356"/>
      <c r="CT246" s="356"/>
      <c r="CU246" s="356"/>
      <c r="CV246" s="356"/>
      <c r="CW246" s="356"/>
      <c r="CX246" s="356"/>
      <c r="CY246" s="356"/>
      <c r="CZ246" s="356"/>
      <c r="DA246" s="356"/>
      <c r="DB246" s="356"/>
      <c r="DC246" s="356"/>
      <c r="DD246" s="356"/>
      <c r="DE246" s="356"/>
      <c r="DF246" s="356"/>
      <c r="DG246" s="356"/>
      <c r="DH246" s="356"/>
      <c r="DI246" s="356"/>
      <c r="DJ246" s="356"/>
      <c r="DK246" s="356"/>
      <c r="DL246" s="356"/>
      <c r="DM246" s="356"/>
      <c r="DN246" s="356"/>
      <c r="DO246" s="356"/>
      <c r="DP246" s="356"/>
      <c r="DQ246" s="356"/>
    </row>
    <row r="247" spans="1:122" hidden="1" outlineLevel="1">
      <c r="A247" s="41"/>
      <c r="B247" s="364"/>
      <c r="C247" s="356"/>
      <c r="D247" s="356"/>
      <c r="E247" s="362"/>
      <c r="F247" s="362"/>
      <c r="G247" s="356"/>
      <c r="H247" s="364"/>
      <c r="I247" s="364"/>
      <c r="J247" s="366"/>
      <c r="K247" s="366"/>
      <c r="L247" s="366"/>
      <c r="M247" s="366"/>
      <c r="N247" s="366"/>
      <c r="O247" s="366"/>
      <c r="P247" s="366"/>
      <c r="Q247" s="366"/>
      <c r="R247" s="369"/>
      <c r="S247" s="369"/>
      <c r="T247" s="366"/>
      <c r="U247" s="427"/>
      <c r="V247" s="427"/>
      <c r="W247" s="372"/>
      <c r="X247" s="373"/>
      <c r="Y247" s="373"/>
      <c r="Z247" s="374"/>
      <c r="AA247" s="374"/>
      <c r="AB247" s="374"/>
      <c r="AC247" s="374"/>
      <c r="AD247" s="369"/>
      <c r="AE247" s="376"/>
      <c r="AF247" s="376"/>
      <c r="AG247" s="376"/>
      <c r="AH247" s="376"/>
      <c r="AI247" s="375"/>
      <c r="AJ247" s="366"/>
      <c r="AK247" s="366"/>
      <c r="AL247" s="366"/>
      <c r="AM247" s="366"/>
      <c r="AN247" s="366"/>
      <c r="AO247" s="366"/>
      <c r="AP247" s="366"/>
      <c r="AQ247" s="366"/>
      <c r="AR247" s="366"/>
      <c r="AS247" s="366"/>
      <c r="AT247" s="366"/>
      <c r="AU247" s="366"/>
      <c r="AV247" s="366"/>
      <c r="AW247" s="366"/>
      <c r="AX247" s="366"/>
      <c r="AY247" s="366"/>
      <c r="AZ247" s="366"/>
      <c r="BA247" s="366"/>
      <c r="BB247" s="366"/>
      <c r="BC247" s="366"/>
      <c r="BD247" s="366"/>
      <c r="BE247" s="366"/>
      <c r="BF247" s="366"/>
      <c r="BG247" s="366"/>
      <c r="BH247" s="366"/>
      <c r="BI247" s="366"/>
      <c r="BJ247" s="366"/>
      <c r="BK247" s="366"/>
      <c r="BL247" s="366"/>
      <c r="BM247" s="366"/>
      <c r="BN247" s="366"/>
      <c r="BO247" s="366"/>
      <c r="BP247" s="366"/>
      <c r="BQ247" s="366"/>
      <c r="BR247" s="366"/>
      <c r="BS247" s="366"/>
      <c r="BT247" s="366"/>
      <c r="BU247" s="366"/>
      <c r="BV247" s="366"/>
      <c r="BW247" s="366"/>
      <c r="BX247" s="366"/>
      <c r="BY247" s="423"/>
      <c r="BZ247" s="423"/>
      <c r="CI247" s="356"/>
      <c r="CJ247" s="356"/>
      <c r="CK247" s="356"/>
      <c r="CP247" s="356"/>
      <c r="CQ247" s="356"/>
      <c r="CR247" s="356"/>
      <c r="CS247" s="356"/>
      <c r="CT247" s="356"/>
      <c r="CU247" s="356"/>
      <c r="CV247" s="356"/>
      <c r="CW247" s="356"/>
      <c r="CX247" s="356"/>
      <c r="CY247" s="356"/>
      <c r="CZ247" s="356"/>
      <c r="DA247" s="356"/>
      <c r="DB247" s="356"/>
      <c r="DC247" s="356"/>
      <c r="DD247" s="356"/>
      <c r="DE247" s="356"/>
      <c r="DF247" s="356"/>
      <c r="DG247" s="356"/>
      <c r="DH247" s="356"/>
      <c r="DI247" s="356"/>
      <c r="DJ247" s="356"/>
      <c r="DK247" s="356"/>
      <c r="DL247" s="356"/>
      <c r="DM247" s="356"/>
      <c r="DN247" s="356"/>
      <c r="DO247" s="356"/>
      <c r="DP247" s="356"/>
      <c r="DQ247" s="356"/>
    </row>
    <row r="248" spans="1:122" s="8" customFormat="1" ht="15" customHeight="1" collapsed="1">
      <c r="A248" s="5"/>
      <c r="B248" s="360"/>
      <c r="C248" s="429" t="s">
        <v>16</v>
      </c>
      <c r="D248" s="429"/>
      <c r="E248" s="430"/>
      <c r="F248" s="430"/>
      <c r="G248" s="431">
        <f>SUM(G7:G62)</f>
        <v>48</v>
      </c>
      <c r="H248" s="432"/>
      <c r="I248" s="432"/>
      <c r="J248" s="431">
        <f t="shared" ref="J248:AO248" si="40">SUM(J7:J62)</f>
        <v>1690597</v>
      </c>
      <c r="K248" s="431">
        <f t="shared" si="40"/>
        <v>85133</v>
      </c>
      <c r="L248" s="431">
        <f t="shared" si="40"/>
        <v>67322</v>
      </c>
      <c r="M248" s="431">
        <f t="shared" si="40"/>
        <v>29039</v>
      </c>
      <c r="N248" s="431">
        <f t="shared" si="40"/>
        <v>7008</v>
      </c>
      <c r="O248" s="431">
        <f t="shared" si="40"/>
        <v>13579</v>
      </c>
      <c r="P248" s="431">
        <f t="shared" si="40"/>
        <v>7080</v>
      </c>
      <c r="Q248" s="431">
        <f t="shared" si="40"/>
        <v>12379</v>
      </c>
      <c r="R248" s="433">
        <f t="shared" si="40"/>
        <v>332665.78000000009</v>
      </c>
      <c r="S248" s="431">
        <f t="shared" si="40"/>
        <v>208565.9</v>
      </c>
      <c r="T248" s="431">
        <f t="shared" si="40"/>
        <v>4861</v>
      </c>
      <c r="U248" s="431">
        <f t="shared" si="40"/>
        <v>270992.99000000011</v>
      </c>
      <c r="V248" s="431">
        <f t="shared" si="40"/>
        <v>167103.81999999998</v>
      </c>
      <c r="W248" s="431">
        <f t="shared" si="40"/>
        <v>2146</v>
      </c>
      <c r="X248" s="433">
        <f t="shared" si="40"/>
        <v>60903.989999999983</v>
      </c>
      <c r="Y248" s="433">
        <f t="shared" si="40"/>
        <v>40881.399999999994</v>
      </c>
      <c r="Z248" s="431">
        <f t="shared" si="40"/>
        <v>1</v>
      </c>
      <c r="AA248" s="431">
        <f t="shared" si="40"/>
        <v>768.8</v>
      </c>
      <c r="AB248" s="431">
        <f t="shared" si="40"/>
        <v>580.67999999999995</v>
      </c>
      <c r="AC248" s="433">
        <f t="shared" si="40"/>
        <v>37646.579999999987</v>
      </c>
      <c r="AD248" s="434">
        <f t="shared" si="40"/>
        <v>20787.36</v>
      </c>
      <c r="AE248" s="431">
        <f t="shared" si="40"/>
        <v>0</v>
      </c>
      <c r="AF248" s="433">
        <f t="shared" si="40"/>
        <v>20787.36</v>
      </c>
      <c r="AG248" s="433">
        <f t="shared" si="40"/>
        <v>16859.22</v>
      </c>
      <c r="AH248" s="431">
        <f t="shared" si="40"/>
        <v>0</v>
      </c>
      <c r="AI248" s="433">
        <f t="shared" si="40"/>
        <v>370312.36</v>
      </c>
      <c r="AJ248" s="431">
        <f t="shared" si="40"/>
        <v>0</v>
      </c>
      <c r="AK248" s="431">
        <f t="shared" si="40"/>
        <v>84</v>
      </c>
      <c r="AL248" s="431">
        <f t="shared" si="40"/>
        <v>194</v>
      </c>
      <c r="AM248" s="431">
        <f t="shared" si="40"/>
        <v>77</v>
      </c>
      <c r="AN248" s="431">
        <f t="shared" si="40"/>
        <v>0</v>
      </c>
      <c r="AO248" s="431">
        <f t="shared" si="40"/>
        <v>108</v>
      </c>
      <c r="AP248" s="431">
        <f t="shared" ref="AP248:BU248" si="41">SUM(AP7:AP62)</f>
        <v>277937</v>
      </c>
      <c r="AQ248" s="431">
        <f t="shared" si="41"/>
        <v>25765</v>
      </c>
      <c r="AR248" s="431">
        <f t="shared" si="41"/>
        <v>23436</v>
      </c>
      <c r="AS248" s="431">
        <f t="shared" si="41"/>
        <v>18749</v>
      </c>
      <c r="AT248" s="431">
        <f t="shared" si="41"/>
        <v>19379</v>
      </c>
      <c r="AU248" s="431">
        <f t="shared" si="41"/>
        <v>420678</v>
      </c>
      <c r="AV248" s="431">
        <f t="shared" si="41"/>
        <v>112316</v>
      </c>
      <c r="AW248" s="431">
        <f t="shared" si="41"/>
        <v>308362</v>
      </c>
      <c r="AX248" s="431">
        <f t="shared" si="41"/>
        <v>77695</v>
      </c>
      <c r="AY248" s="431">
        <f t="shared" si="41"/>
        <v>10837</v>
      </c>
      <c r="AZ248" s="431">
        <f t="shared" si="41"/>
        <v>82081</v>
      </c>
      <c r="BA248" s="431">
        <f t="shared" si="41"/>
        <v>82081</v>
      </c>
      <c r="BB248" s="431">
        <f t="shared" si="41"/>
        <v>1994</v>
      </c>
      <c r="BC248" s="431">
        <f t="shared" si="41"/>
        <v>876</v>
      </c>
      <c r="BD248" s="431">
        <f t="shared" si="41"/>
        <v>18166</v>
      </c>
      <c r="BE248" s="431">
        <f t="shared" si="41"/>
        <v>49332</v>
      </c>
      <c r="BF248" s="431">
        <f t="shared" si="41"/>
        <v>14</v>
      </c>
      <c r="BG248" s="431">
        <f t="shared" si="41"/>
        <v>501420</v>
      </c>
      <c r="BH248" s="431">
        <f t="shared" si="41"/>
        <v>119924</v>
      </c>
      <c r="BI248" s="431">
        <f t="shared" si="41"/>
        <v>6220</v>
      </c>
      <c r="BJ248" s="431">
        <f t="shared" si="41"/>
        <v>25</v>
      </c>
      <c r="BK248" s="431">
        <f t="shared" si="41"/>
        <v>148594.88</v>
      </c>
      <c r="BL248" s="431">
        <f t="shared" si="41"/>
        <v>89488.29</v>
      </c>
      <c r="BM248" s="431">
        <f t="shared" si="41"/>
        <v>20</v>
      </c>
      <c r="BN248" s="431">
        <f t="shared" si="41"/>
        <v>136403.20000000001</v>
      </c>
      <c r="BO248" s="431">
        <f t="shared" si="41"/>
        <v>89844.510000000009</v>
      </c>
      <c r="BP248" s="431">
        <f t="shared" si="41"/>
        <v>3</v>
      </c>
      <c r="BQ248" s="431">
        <f t="shared" si="41"/>
        <v>47667.700000000004</v>
      </c>
      <c r="BR248" s="431">
        <f t="shared" si="41"/>
        <v>29233.1</v>
      </c>
      <c r="BS248" s="431">
        <f t="shared" si="41"/>
        <v>0</v>
      </c>
      <c r="BT248" s="431">
        <f t="shared" si="41"/>
        <v>132</v>
      </c>
      <c r="BU248" s="431">
        <f t="shared" si="41"/>
        <v>48682</v>
      </c>
      <c r="BV248" s="431">
        <f t="shared" ref="BV248:CH248" si="42">SUM(BV7:BV62)</f>
        <v>153080</v>
      </c>
      <c r="BW248" s="431">
        <f t="shared" si="42"/>
        <v>40</v>
      </c>
      <c r="BX248" s="431">
        <f t="shared" si="42"/>
        <v>147822</v>
      </c>
      <c r="BY248" s="431">
        <f t="shared" si="42"/>
        <v>66835.26999999999</v>
      </c>
      <c r="BZ248" s="433">
        <f t="shared" si="42"/>
        <v>56570.859999999993</v>
      </c>
      <c r="CA248" s="431">
        <f t="shared" si="42"/>
        <v>202041</v>
      </c>
      <c r="CB248" s="431">
        <f t="shared" si="42"/>
        <v>116908</v>
      </c>
      <c r="CC248" s="431">
        <f t="shared" si="42"/>
        <v>6</v>
      </c>
      <c r="CD248" s="431">
        <f t="shared" si="42"/>
        <v>112316</v>
      </c>
      <c r="CE248" s="431">
        <f t="shared" si="42"/>
        <v>42</v>
      </c>
      <c r="CF248" s="431">
        <f t="shared" si="42"/>
        <v>308362</v>
      </c>
      <c r="CG248" s="431">
        <f t="shared" si="42"/>
        <v>48</v>
      </c>
      <c r="CH248" s="435">
        <f t="shared" si="42"/>
        <v>420678</v>
      </c>
      <c r="CI248" s="434">
        <f>(SUM(CI7:CI62))/G248</f>
        <v>44.25</v>
      </c>
      <c r="CJ248" s="431">
        <f>SUM(CJ7:CJ62)</f>
        <v>10</v>
      </c>
      <c r="CK248" s="433">
        <f>SUM(CK7:CK62)</f>
        <v>55619.680000000008</v>
      </c>
      <c r="CL248" s="436"/>
      <c r="CM248" s="431">
        <f>SUM(CM7:CM62)</f>
        <v>9</v>
      </c>
      <c r="CN248" s="433">
        <f>SUM(CN7:CN62)</f>
        <v>48554.82</v>
      </c>
      <c r="CO248" s="436"/>
      <c r="CP248" s="431">
        <f t="shared" ref="CP248:DQ248" si="43">SUM(CP7:CP62)</f>
        <v>48</v>
      </c>
      <c r="CQ248" s="431">
        <f t="shared" si="43"/>
        <v>2</v>
      </c>
      <c r="CR248" s="431">
        <f t="shared" si="43"/>
        <v>2</v>
      </c>
      <c r="CS248" s="431">
        <f t="shared" si="43"/>
        <v>5</v>
      </c>
      <c r="CT248" s="431">
        <f t="shared" si="43"/>
        <v>116</v>
      </c>
      <c r="CU248" s="431">
        <f t="shared" si="43"/>
        <v>0</v>
      </c>
      <c r="CV248" s="431">
        <f t="shared" si="43"/>
        <v>0</v>
      </c>
      <c r="CW248" s="431">
        <f t="shared" si="43"/>
        <v>8</v>
      </c>
      <c r="CX248" s="431">
        <f t="shared" si="43"/>
        <v>5</v>
      </c>
      <c r="CY248" s="431">
        <f t="shared" si="43"/>
        <v>6993</v>
      </c>
      <c r="CZ248" s="431">
        <f t="shared" si="43"/>
        <v>5383</v>
      </c>
      <c r="DA248" s="431">
        <f t="shared" si="43"/>
        <v>1575</v>
      </c>
      <c r="DB248" s="431">
        <f t="shared" si="43"/>
        <v>4131</v>
      </c>
      <c r="DC248" s="431">
        <f t="shared" si="43"/>
        <v>2383</v>
      </c>
      <c r="DD248" s="431">
        <f t="shared" si="43"/>
        <v>7706</v>
      </c>
      <c r="DE248" s="431">
        <f t="shared" si="43"/>
        <v>2897</v>
      </c>
      <c r="DF248" s="431">
        <f t="shared" si="43"/>
        <v>2383</v>
      </c>
      <c r="DG248" s="431">
        <f t="shared" si="43"/>
        <v>7706</v>
      </c>
      <c r="DH248" s="431">
        <f t="shared" si="43"/>
        <v>2964</v>
      </c>
      <c r="DI248" s="431">
        <f t="shared" si="43"/>
        <v>551</v>
      </c>
      <c r="DJ248" s="431">
        <f t="shared" si="43"/>
        <v>249</v>
      </c>
      <c r="DK248" s="431">
        <f t="shared" si="43"/>
        <v>1631</v>
      </c>
      <c r="DL248" s="431">
        <f t="shared" si="43"/>
        <v>262</v>
      </c>
      <c r="DM248" s="431">
        <f t="shared" si="43"/>
        <v>249</v>
      </c>
      <c r="DN248" s="431">
        <f t="shared" si="43"/>
        <v>1632</v>
      </c>
      <c r="DO248" s="431">
        <f t="shared" si="43"/>
        <v>283</v>
      </c>
      <c r="DP248" s="431">
        <f t="shared" si="43"/>
        <v>6993</v>
      </c>
      <c r="DQ248" s="431">
        <f t="shared" si="43"/>
        <v>5737</v>
      </c>
      <c r="DR248" s="437"/>
    </row>
    <row r="249" spans="1:122" s="129" customFormat="1" ht="13.15" customHeight="1">
      <c r="B249" s="438"/>
      <c r="C249" s="439"/>
      <c r="D249" s="440"/>
      <c r="E249" s="441"/>
      <c r="F249" s="441"/>
      <c r="G249" s="442"/>
      <c r="H249" s="440"/>
      <c r="I249" s="440"/>
      <c r="J249" s="442"/>
      <c r="K249" s="442"/>
      <c r="L249" s="442"/>
      <c r="M249" s="442"/>
      <c r="N249" s="442"/>
      <c r="O249" s="442"/>
      <c r="P249" s="442"/>
      <c r="Q249" s="442"/>
      <c r="R249" s="442"/>
      <c r="S249" s="442"/>
      <c r="T249" s="442"/>
      <c r="U249" s="442"/>
      <c r="V249" s="442"/>
      <c r="W249" s="442"/>
      <c r="X249" s="442"/>
      <c r="Y249" s="442"/>
      <c r="Z249" s="442"/>
      <c r="AA249" s="442"/>
      <c r="AB249" s="442"/>
      <c r="AC249" s="442"/>
      <c r="AD249" s="442"/>
      <c r="AE249" s="442"/>
      <c r="AF249" s="442"/>
      <c r="AG249" s="442"/>
      <c r="AH249" s="442"/>
      <c r="AI249" s="442"/>
      <c r="AJ249" s="442"/>
      <c r="AK249" s="442"/>
      <c r="AL249" s="442"/>
      <c r="AM249" s="442"/>
      <c r="AN249" s="442"/>
      <c r="AO249" s="442"/>
      <c r="AP249" s="442"/>
      <c r="AQ249" s="442"/>
      <c r="AR249" s="442"/>
      <c r="AS249" s="442"/>
      <c r="AT249" s="442"/>
      <c r="AU249" s="442"/>
      <c r="AV249" s="442"/>
      <c r="AW249" s="442"/>
      <c r="AX249" s="442"/>
      <c r="AY249" s="442"/>
      <c r="AZ249" s="442"/>
      <c r="BA249" s="442"/>
      <c r="BB249" s="442"/>
      <c r="BC249" s="442"/>
      <c r="BD249" s="442"/>
      <c r="BE249" s="442"/>
      <c r="BF249" s="442"/>
      <c r="BG249" s="442"/>
      <c r="BH249" s="442"/>
      <c r="BI249" s="442"/>
      <c r="BJ249" s="442"/>
      <c r="BK249" s="442"/>
      <c r="BL249" s="442"/>
      <c r="BM249" s="442"/>
      <c r="BN249" s="442"/>
      <c r="BO249" s="442"/>
      <c r="BP249" s="442"/>
      <c r="BQ249" s="442"/>
      <c r="BR249" s="442"/>
      <c r="BS249" s="442"/>
      <c r="BT249" s="442"/>
      <c r="BU249" s="442"/>
      <c r="BV249" s="442"/>
      <c r="BW249" s="442"/>
      <c r="BX249" s="442"/>
      <c r="BY249" s="442"/>
      <c r="BZ249" s="442"/>
      <c r="CA249" s="442"/>
      <c r="CB249" s="442"/>
      <c r="CC249" s="442"/>
      <c r="CD249" s="442"/>
      <c r="CE249" s="442"/>
      <c r="CF249" s="442"/>
      <c r="CG249" s="442"/>
      <c r="CH249" s="442"/>
      <c r="CI249" s="301"/>
      <c r="CJ249" s="301"/>
      <c r="CK249" s="301"/>
      <c r="CL249" s="443"/>
      <c r="CM249" s="301"/>
      <c r="CN249" s="301"/>
      <c r="CO249" s="443"/>
      <c r="CP249" s="442"/>
      <c r="CQ249" s="442"/>
      <c r="CR249" s="442"/>
      <c r="CS249" s="442"/>
      <c r="CT249" s="442"/>
      <c r="CU249" s="442"/>
      <c r="CV249" s="442"/>
      <c r="CW249" s="442"/>
      <c r="CX249" s="442"/>
      <c r="CY249" s="442"/>
      <c r="CZ249" s="442"/>
      <c r="DA249" s="442"/>
      <c r="DB249" s="442"/>
      <c r="DC249" s="442"/>
      <c r="DD249" s="442"/>
      <c r="DE249" s="442"/>
      <c r="DF249" s="442"/>
      <c r="DG249" s="442"/>
      <c r="DH249" s="442"/>
      <c r="DI249" s="442"/>
      <c r="DJ249" s="442"/>
      <c r="DK249" s="442"/>
      <c r="DL249" s="442"/>
      <c r="DM249" s="442"/>
      <c r="DN249" s="442"/>
      <c r="DO249" s="442"/>
      <c r="DP249" s="442"/>
      <c r="DQ249" s="442"/>
      <c r="DR249" s="301"/>
    </row>
    <row r="250" spans="1:122" s="138" customFormat="1" ht="13.9" hidden="1" customHeight="1">
      <c r="B250" s="444"/>
      <c r="C250" s="445" t="s">
        <v>15</v>
      </c>
      <c r="D250" s="446"/>
      <c r="E250" s="447"/>
      <c r="F250" s="447"/>
      <c r="G250" s="448">
        <f>G251+G252+G253+G254+G255+G256+G257+G258</f>
        <v>48</v>
      </c>
      <c r="H250" s="446"/>
      <c r="I250" s="446"/>
      <c r="J250" s="448">
        <f t="shared" ref="J250:BU250" si="44">J251+J252+J253+J254+J255+J256+J257+J258</f>
        <v>1690597</v>
      </c>
      <c r="K250" s="448">
        <f t="shared" si="44"/>
        <v>85133</v>
      </c>
      <c r="L250" s="448">
        <f t="shared" si="44"/>
        <v>67322</v>
      </c>
      <c r="M250" s="448">
        <f t="shared" si="44"/>
        <v>29039</v>
      </c>
      <c r="N250" s="448">
        <f t="shared" si="44"/>
        <v>7008</v>
      </c>
      <c r="O250" s="448">
        <f t="shared" si="44"/>
        <v>13579</v>
      </c>
      <c r="P250" s="448">
        <f t="shared" si="44"/>
        <v>7080</v>
      </c>
      <c r="Q250" s="448">
        <f t="shared" si="44"/>
        <v>12379</v>
      </c>
      <c r="R250" s="448">
        <f t="shared" si="44"/>
        <v>332665.77999999997</v>
      </c>
      <c r="S250" s="448">
        <f t="shared" si="44"/>
        <v>208565.9</v>
      </c>
      <c r="T250" s="448">
        <f t="shared" si="44"/>
        <v>4861</v>
      </c>
      <c r="U250" s="448">
        <f t="shared" si="44"/>
        <v>270992.99000000005</v>
      </c>
      <c r="V250" s="448">
        <f t="shared" si="44"/>
        <v>167103.82</v>
      </c>
      <c r="W250" s="448">
        <f t="shared" si="44"/>
        <v>2146</v>
      </c>
      <c r="X250" s="448">
        <f t="shared" si="44"/>
        <v>60903.990000000005</v>
      </c>
      <c r="Y250" s="448">
        <f t="shared" si="44"/>
        <v>40881.4</v>
      </c>
      <c r="Z250" s="448">
        <f t="shared" si="44"/>
        <v>1</v>
      </c>
      <c r="AA250" s="448">
        <f t="shared" si="44"/>
        <v>768.8</v>
      </c>
      <c r="AB250" s="448">
        <f t="shared" si="44"/>
        <v>580.67999999999995</v>
      </c>
      <c r="AC250" s="448">
        <f t="shared" si="44"/>
        <v>37646.579999999994</v>
      </c>
      <c r="AD250" s="448">
        <f t="shared" si="44"/>
        <v>20787.359999999997</v>
      </c>
      <c r="AE250" s="448">
        <f t="shared" si="44"/>
        <v>0</v>
      </c>
      <c r="AF250" s="448">
        <f t="shared" si="44"/>
        <v>20787.359999999997</v>
      </c>
      <c r="AG250" s="448">
        <f t="shared" si="44"/>
        <v>16859.220000000005</v>
      </c>
      <c r="AH250" s="448">
        <f t="shared" si="44"/>
        <v>0</v>
      </c>
      <c r="AI250" s="448">
        <f t="shared" si="44"/>
        <v>370312.36000000004</v>
      </c>
      <c r="AJ250" s="448">
        <f t="shared" si="44"/>
        <v>0</v>
      </c>
      <c r="AK250" s="448">
        <f t="shared" si="44"/>
        <v>84</v>
      </c>
      <c r="AL250" s="448">
        <f t="shared" si="44"/>
        <v>194</v>
      </c>
      <c r="AM250" s="448">
        <f t="shared" si="44"/>
        <v>77</v>
      </c>
      <c r="AN250" s="448">
        <f t="shared" si="44"/>
        <v>0</v>
      </c>
      <c r="AO250" s="448">
        <f t="shared" si="44"/>
        <v>108</v>
      </c>
      <c r="AP250" s="448">
        <f t="shared" si="44"/>
        <v>277937</v>
      </c>
      <c r="AQ250" s="448">
        <f t="shared" si="44"/>
        <v>25765</v>
      </c>
      <c r="AR250" s="448">
        <f t="shared" si="44"/>
        <v>23436</v>
      </c>
      <c r="AS250" s="448">
        <f t="shared" si="44"/>
        <v>18749</v>
      </c>
      <c r="AT250" s="448">
        <f t="shared" si="44"/>
        <v>19379</v>
      </c>
      <c r="AU250" s="448">
        <f t="shared" si="44"/>
        <v>420678</v>
      </c>
      <c r="AV250" s="448">
        <f t="shared" si="44"/>
        <v>112316</v>
      </c>
      <c r="AW250" s="448">
        <f t="shared" si="44"/>
        <v>308362</v>
      </c>
      <c r="AX250" s="448">
        <f t="shared" si="44"/>
        <v>77695</v>
      </c>
      <c r="AY250" s="448">
        <f t="shared" si="44"/>
        <v>10837</v>
      </c>
      <c r="AZ250" s="448">
        <f t="shared" si="44"/>
        <v>82081</v>
      </c>
      <c r="BA250" s="448">
        <f t="shared" si="44"/>
        <v>82081</v>
      </c>
      <c r="BB250" s="448">
        <f t="shared" si="44"/>
        <v>1994</v>
      </c>
      <c r="BC250" s="448">
        <f t="shared" si="44"/>
        <v>876</v>
      </c>
      <c r="BD250" s="448">
        <f t="shared" si="44"/>
        <v>18166</v>
      </c>
      <c r="BE250" s="448">
        <f t="shared" si="44"/>
        <v>49332</v>
      </c>
      <c r="BF250" s="448">
        <f t="shared" si="44"/>
        <v>14</v>
      </c>
      <c r="BG250" s="448">
        <f t="shared" si="44"/>
        <v>501420</v>
      </c>
      <c r="BH250" s="448">
        <f t="shared" si="44"/>
        <v>119924</v>
      </c>
      <c r="BI250" s="448">
        <f t="shared" si="44"/>
        <v>6220</v>
      </c>
      <c r="BJ250" s="448">
        <f t="shared" si="44"/>
        <v>25</v>
      </c>
      <c r="BK250" s="448">
        <f t="shared" si="44"/>
        <v>148594.87999999998</v>
      </c>
      <c r="BL250" s="448">
        <f t="shared" si="44"/>
        <v>89488.290000000023</v>
      </c>
      <c r="BM250" s="448">
        <f t="shared" si="44"/>
        <v>20</v>
      </c>
      <c r="BN250" s="448">
        <f t="shared" si="44"/>
        <v>136403.19999999998</v>
      </c>
      <c r="BO250" s="448">
        <f t="shared" si="44"/>
        <v>89844.51</v>
      </c>
      <c r="BP250" s="448">
        <f t="shared" si="44"/>
        <v>3</v>
      </c>
      <c r="BQ250" s="448">
        <f t="shared" si="44"/>
        <v>47667.700000000004</v>
      </c>
      <c r="BR250" s="448">
        <f t="shared" si="44"/>
        <v>29233.1</v>
      </c>
      <c r="BS250" s="448">
        <f t="shared" si="44"/>
        <v>0</v>
      </c>
      <c r="BT250" s="448">
        <f t="shared" si="44"/>
        <v>132</v>
      </c>
      <c r="BU250" s="448">
        <f t="shared" si="44"/>
        <v>48682</v>
      </c>
      <c r="BV250" s="448">
        <f t="shared" ref="BV250:CK250" si="45">BV251+BV252+BV253+BV254+BV255+BV256+BV257+BV258</f>
        <v>153080</v>
      </c>
      <c r="BW250" s="448">
        <f t="shared" si="45"/>
        <v>40</v>
      </c>
      <c r="BX250" s="448">
        <f t="shared" si="45"/>
        <v>147822</v>
      </c>
      <c r="BY250" s="448">
        <f t="shared" si="45"/>
        <v>66835.27</v>
      </c>
      <c r="BZ250" s="448">
        <f t="shared" si="45"/>
        <v>56570.860000000008</v>
      </c>
      <c r="CA250" s="448">
        <f t="shared" si="45"/>
        <v>202041</v>
      </c>
      <c r="CB250" s="448">
        <f t="shared" si="45"/>
        <v>116908</v>
      </c>
      <c r="CC250" s="448">
        <f t="shared" si="45"/>
        <v>6</v>
      </c>
      <c r="CD250" s="448">
        <f t="shared" si="45"/>
        <v>112316</v>
      </c>
      <c r="CE250" s="448">
        <f t="shared" si="45"/>
        <v>42</v>
      </c>
      <c r="CF250" s="448">
        <f t="shared" si="45"/>
        <v>308362</v>
      </c>
      <c r="CG250" s="448">
        <f t="shared" si="45"/>
        <v>48</v>
      </c>
      <c r="CH250" s="448">
        <f t="shared" si="45"/>
        <v>420678</v>
      </c>
      <c r="CI250" s="449">
        <f t="shared" si="45"/>
        <v>2124</v>
      </c>
      <c r="CJ250" s="450">
        <f t="shared" si="45"/>
        <v>10</v>
      </c>
      <c r="CK250" s="450">
        <f t="shared" si="45"/>
        <v>55619.679999999993</v>
      </c>
      <c r="CL250" s="451"/>
      <c r="CM250" s="450">
        <f t="shared" ref="CM250:CN250" si="46">CM251+CM252+CM253+CM254+CM255+CM256+CM257+CM258</f>
        <v>9</v>
      </c>
      <c r="CN250" s="450">
        <f t="shared" si="46"/>
        <v>48554.820000000007</v>
      </c>
      <c r="CO250" s="451"/>
      <c r="CP250" s="448">
        <f t="shared" ref="CP250:DQ250" si="47">CP251+CP252+CP253+CP254+CP255+CP256+CP257+CP258</f>
        <v>48</v>
      </c>
      <c r="CQ250" s="448">
        <f t="shared" si="47"/>
        <v>2</v>
      </c>
      <c r="CR250" s="448">
        <f t="shared" si="47"/>
        <v>2</v>
      </c>
      <c r="CS250" s="448">
        <f t="shared" si="47"/>
        <v>5</v>
      </c>
      <c r="CT250" s="448">
        <f t="shared" si="47"/>
        <v>116</v>
      </c>
      <c r="CU250" s="448">
        <f t="shared" si="47"/>
        <v>0</v>
      </c>
      <c r="CV250" s="448">
        <f t="shared" si="47"/>
        <v>0</v>
      </c>
      <c r="CW250" s="448">
        <f t="shared" si="47"/>
        <v>8</v>
      </c>
      <c r="CX250" s="448">
        <f t="shared" si="47"/>
        <v>5</v>
      </c>
      <c r="CY250" s="448">
        <f t="shared" si="47"/>
        <v>6993</v>
      </c>
      <c r="CZ250" s="448">
        <f t="shared" si="47"/>
        <v>5383</v>
      </c>
      <c r="DA250" s="448">
        <f t="shared" si="47"/>
        <v>1575</v>
      </c>
      <c r="DB250" s="448">
        <f t="shared" si="47"/>
        <v>4131</v>
      </c>
      <c r="DC250" s="448">
        <f t="shared" si="47"/>
        <v>2383</v>
      </c>
      <c r="DD250" s="448">
        <f t="shared" si="47"/>
        <v>7706</v>
      </c>
      <c r="DE250" s="448">
        <f t="shared" si="47"/>
        <v>2897</v>
      </c>
      <c r="DF250" s="448">
        <f t="shared" si="47"/>
        <v>2383</v>
      </c>
      <c r="DG250" s="448">
        <f t="shared" si="47"/>
        <v>7706</v>
      </c>
      <c r="DH250" s="448">
        <f t="shared" si="47"/>
        <v>2964</v>
      </c>
      <c r="DI250" s="448">
        <f t="shared" si="47"/>
        <v>551</v>
      </c>
      <c r="DJ250" s="448">
        <f t="shared" si="47"/>
        <v>249</v>
      </c>
      <c r="DK250" s="448">
        <f t="shared" si="47"/>
        <v>1631</v>
      </c>
      <c r="DL250" s="448">
        <f t="shared" si="47"/>
        <v>262</v>
      </c>
      <c r="DM250" s="448">
        <f t="shared" si="47"/>
        <v>249</v>
      </c>
      <c r="DN250" s="448">
        <f t="shared" si="47"/>
        <v>1632</v>
      </c>
      <c r="DO250" s="448">
        <f t="shared" si="47"/>
        <v>283</v>
      </c>
      <c r="DP250" s="448">
        <f t="shared" si="47"/>
        <v>6993</v>
      </c>
      <c r="DQ250" s="448">
        <f t="shared" si="47"/>
        <v>5737</v>
      </c>
      <c r="DR250" s="437"/>
    </row>
    <row r="251" spans="1:122" s="36" customFormat="1" hidden="1">
      <c r="B251" s="452"/>
      <c r="C251" s="453" t="s">
        <v>10</v>
      </c>
      <c r="D251" s="440"/>
      <c r="E251" s="441"/>
      <c r="F251" s="441"/>
      <c r="G251" s="442"/>
      <c r="H251" s="454">
        <v>5</v>
      </c>
      <c r="I251" s="455"/>
      <c r="J251" s="442"/>
      <c r="K251" s="442"/>
      <c r="L251" s="442"/>
      <c r="M251" s="442"/>
      <c r="N251" s="442"/>
      <c r="O251" s="442"/>
      <c r="P251" s="442"/>
      <c r="Q251" s="442"/>
      <c r="R251" s="442"/>
      <c r="S251" s="442"/>
      <c r="T251" s="442"/>
      <c r="U251" s="442"/>
      <c r="V251" s="442"/>
      <c r="W251" s="442"/>
      <c r="X251" s="442"/>
      <c r="Y251" s="442"/>
      <c r="Z251" s="442"/>
      <c r="AA251" s="442"/>
      <c r="AB251" s="442"/>
      <c r="AC251" s="442"/>
      <c r="AD251" s="442"/>
      <c r="AE251" s="442"/>
      <c r="AF251" s="442"/>
      <c r="AG251" s="442"/>
      <c r="AH251" s="442"/>
      <c r="AI251" s="442"/>
      <c r="AJ251" s="442"/>
      <c r="AK251" s="442"/>
      <c r="AL251" s="442"/>
      <c r="AM251" s="442"/>
      <c r="AN251" s="442"/>
      <c r="AO251" s="442"/>
      <c r="AP251" s="442"/>
      <c r="AQ251" s="442"/>
      <c r="AR251" s="442"/>
      <c r="AS251" s="442"/>
      <c r="AT251" s="442"/>
      <c r="AU251" s="442"/>
      <c r="AV251" s="442"/>
      <c r="AW251" s="442"/>
      <c r="AX251" s="442"/>
      <c r="AY251" s="442"/>
      <c r="AZ251" s="442"/>
      <c r="BA251" s="442"/>
      <c r="BB251" s="442"/>
      <c r="BC251" s="442"/>
      <c r="BD251" s="442"/>
      <c r="BE251" s="442"/>
      <c r="BF251" s="442"/>
      <c r="BG251" s="442"/>
      <c r="BH251" s="442"/>
      <c r="BI251" s="442"/>
      <c r="BJ251" s="442"/>
      <c r="BK251" s="442"/>
      <c r="BL251" s="442"/>
      <c r="BM251" s="442"/>
      <c r="BN251" s="442"/>
      <c r="BO251" s="442"/>
      <c r="BP251" s="442"/>
      <c r="BQ251" s="442"/>
      <c r="BR251" s="442"/>
      <c r="BS251" s="442"/>
      <c r="BT251" s="442"/>
      <c r="BU251" s="442"/>
      <c r="BV251" s="442"/>
      <c r="BW251" s="442"/>
      <c r="BX251" s="442"/>
      <c r="BY251" s="442"/>
      <c r="BZ251" s="442"/>
      <c r="CA251" s="442"/>
      <c r="CB251" s="442"/>
      <c r="CC251" s="442"/>
      <c r="CD251" s="442"/>
      <c r="CE251" s="442"/>
      <c r="CF251" s="442"/>
      <c r="CG251" s="442"/>
      <c r="CH251" s="442"/>
      <c r="CI251" s="456"/>
      <c r="CJ251" s="457"/>
      <c r="CK251" s="457"/>
      <c r="CL251" s="458"/>
      <c r="CM251" s="457"/>
      <c r="CN251" s="457"/>
      <c r="CO251" s="458"/>
      <c r="CP251" s="442"/>
      <c r="CQ251" s="442"/>
      <c r="CR251" s="442"/>
      <c r="CS251" s="442"/>
      <c r="CT251" s="442"/>
      <c r="CU251" s="442"/>
      <c r="CV251" s="442"/>
      <c r="CW251" s="442"/>
      <c r="CX251" s="442"/>
      <c r="CY251" s="442"/>
      <c r="CZ251" s="442"/>
      <c r="DA251" s="442"/>
      <c r="DB251" s="442"/>
      <c r="DC251" s="442"/>
      <c r="DD251" s="442"/>
      <c r="DE251" s="442"/>
      <c r="DF251" s="442"/>
      <c r="DG251" s="442"/>
      <c r="DH251" s="442"/>
      <c r="DI251" s="442"/>
      <c r="DJ251" s="442"/>
      <c r="DK251" s="442"/>
      <c r="DL251" s="442"/>
      <c r="DM251" s="442"/>
      <c r="DN251" s="442"/>
      <c r="DO251" s="442"/>
      <c r="DP251" s="442"/>
      <c r="DQ251" s="442"/>
      <c r="DR251" s="301"/>
    </row>
    <row r="252" spans="1:122" s="36" customFormat="1" hidden="1">
      <c r="B252" s="452"/>
      <c r="C252" s="453" t="s">
        <v>11</v>
      </c>
      <c r="D252" s="440"/>
      <c r="E252" s="441"/>
      <c r="F252" s="441"/>
      <c r="G252" s="442">
        <f>G37+G38</f>
        <v>2</v>
      </c>
      <c r="H252" s="454">
        <v>9</v>
      </c>
      <c r="I252" s="455"/>
      <c r="J252" s="442">
        <f t="shared" ref="J252:BU252" si="48">J37+J38</f>
        <v>32845</v>
      </c>
      <c r="K252" s="442">
        <f t="shared" si="48"/>
        <v>2415</v>
      </c>
      <c r="L252" s="442">
        <f t="shared" si="48"/>
        <v>0</v>
      </c>
      <c r="M252" s="442">
        <f t="shared" si="48"/>
        <v>2302</v>
      </c>
      <c r="N252" s="442">
        <f t="shared" si="48"/>
        <v>159</v>
      </c>
      <c r="O252" s="442">
        <f t="shared" si="48"/>
        <v>351</v>
      </c>
      <c r="P252" s="442">
        <f t="shared" si="48"/>
        <v>163</v>
      </c>
      <c r="Q252" s="442">
        <f t="shared" si="48"/>
        <v>289</v>
      </c>
      <c r="R252" s="459">
        <f t="shared" si="48"/>
        <v>8299.7000000000007</v>
      </c>
      <c r="S252" s="442">
        <f t="shared" si="48"/>
        <v>4773.3999999999996</v>
      </c>
      <c r="T252" s="442">
        <f t="shared" si="48"/>
        <v>141</v>
      </c>
      <c r="U252" s="442">
        <f t="shared" si="48"/>
        <v>7262</v>
      </c>
      <c r="V252" s="442">
        <f t="shared" si="48"/>
        <v>4161.1000000000004</v>
      </c>
      <c r="W252" s="442">
        <f t="shared" si="48"/>
        <v>18</v>
      </c>
      <c r="X252" s="442">
        <f t="shared" si="48"/>
        <v>1037.7000000000003</v>
      </c>
      <c r="Y252" s="442">
        <f t="shared" si="48"/>
        <v>612.29999999999995</v>
      </c>
      <c r="Z252" s="442">
        <f t="shared" si="48"/>
        <v>0</v>
      </c>
      <c r="AA252" s="442">
        <f t="shared" si="48"/>
        <v>0</v>
      </c>
      <c r="AB252" s="442">
        <f t="shared" si="48"/>
        <v>0</v>
      </c>
      <c r="AC252" s="459">
        <f t="shared" si="48"/>
        <v>1347.5</v>
      </c>
      <c r="AD252" s="442">
        <f t="shared" si="48"/>
        <v>945.7</v>
      </c>
      <c r="AE252" s="442">
        <f t="shared" si="48"/>
        <v>0</v>
      </c>
      <c r="AF252" s="442">
        <f t="shared" si="48"/>
        <v>945.7</v>
      </c>
      <c r="AG252" s="442">
        <f t="shared" si="48"/>
        <v>401.8</v>
      </c>
      <c r="AH252" s="442">
        <f t="shared" si="48"/>
        <v>0</v>
      </c>
      <c r="AI252" s="442">
        <f t="shared" si="48"/>
        <v>9647.2000000000007</v>
      </c>
      <c r="AJ252" s="442">
        <f t="shared" si="48"/>
        <v>0</v>
      </c>
      <c r="AK252" s="442">
        <f t="shared" si="48"/>
        <v>5</v>
      </c>
      <c r="AL252" s="442">
        <f t="shared" si="48"/>
        <v>5</v>
      </c>
      <c r="AM252" s="442">
        <f t="shared" si="48"/>
        <v>5</v>
      </c>
      <c r="AN252" s="442">
        <f t="shared" si="48"/>
        <v>0</v>
      </c>
      <c r="AO252" s="442">
        <f t="shared" si="48"/>
        <v>5</v>
      </c>
      <c r="AP252" s="442">
        <f t="shared" si="48"/>
        <v>9360</v>
      </c>
      <c r="AQ252" s="442">
        <f t="shared" si="48"/>
        <v>1166</v>
      </c>
      <c r="AR252" s="442">
        <f t="shared" si="48"/>
        <v>555</v>
      </c>
      <c r="AS252" s="442">
        <f t="shared" si="48"/>
        <v>496</v>
      </c>
      <c r="AT252" s="442">
        <f t="shared" si="48"/>
        <v>350</v>
      </c>
      <c r="AU252" s="442">
        <f t="shared" si="48"/>
        <v>10600</v>
      </c>
      <c r="AV252" s="442">
        <f t="shared" si="48"/>
        <v>0</v>
      </c>
      <c r="AW252" s="442">
        <f t="shared" si="48"/>
        <v>10600</v>
      </c>
      <c r="AX252" s="442">
        <f t="shared" si="48"/>
        <v>0</v>
      </c>
      <c r="AY252" s="442">
        <f t="shared" si="48"/>
        <v>469</v>
      </c>
      <c r="AZ252" s="442">
        <f t="shared" si="48"/>
        <v>2090</v>
      </c>
      <c r="BA252" s="442">
        <f t="shared" si="48"/>
        <v>2090</v>
      </c>
      <c r="BB252" s="442">
        <f t="shared" si="48"/>
        <v>0</v>
      </c>
      <c r="BC252" s="442">
        <f t="shared" si="48"/>
        <v>10</v>
      </c>
      <c r="BD252" s="442">
        <f t="shared" si="48"/>
        <v>493</v>
      </c>
      <c r="BE252" s="442">
        <f t="shared" si="48"/>
        <v>1238</v>
      </c>
      <c r="BF252" s="442">
        <f t="shared" si="48"/>
        <v>0</v>
      </c>
      <c r="BG252" s="442">
        <f t="shared" si="48"/>
        <v>28500</v>
      </c>
      <c r="BH252" s="442">
        <f t="shared" si="48"/>
        <v>8175</v>
      </c>
      <c r="BI252" s="442">
        <f t="shared" si="48"/>
        <v>225</v>
      </c>
      <c r="BJ252" s="442">
        <f t="shared" si="48"/>
        <v>2</v>
      </c>
      <c r="BK252" s="442">
        <f t="shared" si="48"/>
        <v>8299.7000000000007</v>
      </c>
      <c r="BL252" s="442">
        <f t="shared" si="48"/>
        <v>4773.3999999999996</v>
      </c>
      <c r="BM252" s="442">
        <f t="shared" si="48"/>
        <v>0</v>
      </c>
      <c r="BN252" s="442">
        <f t="shared" si="48"/>
        <v>0</v>
      </c>
      <c r="BO252" s="442">
        <f t="shared" si="48"/>
        <v>0</v>
      </c>
      <c r="BP252" s="442">
        <f t="shared" si="48"/>
        <v>0</v>
      </c>
      <c r="BQ252" s="442">
        <f t="shared" si="48"/>
        <v>0</v>
      </c>
      <c r="BR252" s="442">
        <f t="shared" si="48"/>
        <v>0</v>
      </c>
      <c r="BS252" s="442">
        <f t="shared" si="48"/>
        <v>0</v>
      </c>
      <c r="BT252" s="442">
        <f t="shared" si="48"/>
        <v>4</v>
      </c>
      <c r="BU252" s="442">
        <f t="shared" si="48"/>
        <v>2090</v>
      </c>
      <c r="BV252" s="442">
        <f t="shared" ref="BV252:CK252" si="49">BV37+BV38</f>
        <v>17159</v>
      </c>
      <c r="BW252" s="442">
        <f t="shared" si="49"/>
        <v>0</v>
      </c>
      <c r="BX252" s="442">
        <f t="shared" si="49"/>
        <v>9360</v>
      </c>
      <c r="BY252" s="442">
        <f t="shared" si="49"/>
        <v>3138.4000000000005</v>
      </c>
      <c r="BZ252" s="442">
        <f t="shared" si="49"/>
        <v>1834.3000000000002</v>
      </c>
      <c r="CA252" s="442">
        <f t="shared" si="49"/>
        <v>6381</v>
      </c>
      <c r="CB252" s="442">
        <f t="shared" si="49"/>
        <v>3966</v>
      </c>
      <c r="CC252" s="442">
        <f t="shared" si="49"/>
        <v>0</v>
      </c>
      <c r="CD252" s="442">
        <f t="shared" si="49"/>
        <v>0</v>
      </c>
      <c r="CE252" s="442">
        <f t="shared" si="49"/>
        <v>2</v>
      </c>
      <c r="CF252" s="442">
        <f t="shared" si="49"/>
        <v>10600</v>
      </c>
      <c r="CG252" s="442">
        <f t="shared" si="49"/>
        <v>2</v>
      </c>
      <c r="CH252" s="442">
        <f t="shared" si="49"/>
        <v>10600</v>
      </c>
      <c r="CI252" s="456">
        <f t="shared" si="49"/>
        <v>57</v>
      </c>
      <c r="CJ252" s="457">
        <f t="shared" si="49"/>
        <v>0</v>
      </c>
      <c r="CK252" s="457">
        <f t="shared" si="49"/>
        <v>0</v>
      </c>
      <c r="CL252" s="458"/>
      <c r="CM252" s="457">
        <f t="shared" ref="CM252:CN252" si="50">CM37+CM38</f>
        <v>0</v>
      </c>
      <c r="CN252" s="457">
        <f t="shared" si="50"/>
        <v>0</v>
      </c>
      <c r="CO252" s="458"/>
      <c r="CP252" s="442">
        <f t="shared" ref="CP252:DQ252" si="51">CP37+CP38</f>
        <v>2</v>
      </c>
      <c r="CQ252" s="442">
        <f t="shared" si="51"/>
        <v>0</v>
      </c>
      <c r="CR252" s="442">
        <f t="shared" si="51"/>
        <v>0</v>
      </c>
      <c r="CS252" s="442">
        <f t="shared" si="51"/>
        <v>0</v>
      </c>
      <c r="CT252" s="442">
        <f t="shared" si="51"/>
        <v>4</v>
      </c>
      <c r="CU252" s="442">
        <f t="shared" si="51"/>
        <v>0</v>
      </c>
      <c r="CV252" s="442">
        <f t="shared" si="51"/>
        <v>0</v>
      </c>
      <c r="CW252" s="442">
        <f t="shared" si="51"/>
        <v>0</v>
      </c>
      <c r="CX252" s="442">
        <f t="shared" si="51"/>
        <v>0</v>
      </c>
      <c r="CY252" s="442">
        <f t="shared" si="51"/>
        <v>159</v>
      </c>
      <c r="CZ252" s="442">
        <f t="shared" si="51"/>
        <v>148</v>
      </c>
      <c r="DA252" s="442">
        <f t="shared" si="51"/>
        <v>11</v>
      </c>
      <c r="DB252" s="442">
        <f t="shared" si="51"/>
        <v>135</v>
      </c>
      <c r="DC252" s="442">
        <f t="shared" si="51"/>
        <v>69</v>
      </c>
      <c r="DD252" s="442">
        <f t="shared" si="51"/>
        <v>230</v>
      </c>
      <c r="DE252" s="442">
        <f t="shared" si="51"/>
        <v>106</v>
      </c>
      <c r="DF252" s="442">
        <f t="shared" si="51"/>
        <v>69</v>
      </c>
      <c r="DG252" s="442">
        <f t="shared" si="51"/>
        <v>230</v>
      </c>
      <c r="DH252" s="442">
        <f t="shared" si="51"/>
        <v>106</v>
      </c>
      <c r="DI252" s="442">
        <f t="shared" si="51"/>
        <v>10</v>
      </c>
      <c r="DJ252" s="442">
        <f t="shared" si="51"/>
        <v>1</v>
      </c>
      <c r="DK252" s="442">
        <f t="shared" si="51"/>
        <v>12</v>
      </c>
      <c r="DL252" s="442">
        <f t="shared" si="51"/>
        <v>2</v>
      </c>
      <c r="DM252" s="442">
        <f t="shared" si="51"/>
        <v>1</v>
      </c>
      <c r="DN252" s="442">
        <f t="shared" si="51"/>
        <v>12</v>
      </c>
      <c r="DO252" s="442">
        <f t="shared" si="51"/>
        <v>2</v>
      </c>
      <c r="DP252" s="442">
        <f t="shared" si="51"/>
        <v>159</v>
      </c>
      <c r="DQ252" s="442">
        <f t="shared" si="51"/>
        <v>159</v>
      </c>
      <c r="DR252" s="301"/>
    </row>
    <row r="253" spans="1:122" s="36" customFormat="1" hidden="1">
      <c r="B253" s="452"/>
      <c r="C253" s="453" t="s">
        <v>12</v>
      </c>
      <c r="D253" s="440"/>
      <c r="E253" s="441"/>
      <c r="F253" s="441"/>
      <c r="G253" s="442">
        <f>G9</f>
        <v>1</v>
      </c>
      <c r="H253" s="454">
        <v>9</v>
      </c>
      <c r="I253" s="455"/>
      <c r="J253" s="442">
        <f t="shared" ref="J253:BU253" si="52">J9</f>
        <v>17018</v>
      </c>
      <c r="K253" s="442">
        <f t="shared" si="52"/>
        <v>706</v>
      </c>
      <c r="L253" s="442">
        <f t="shared" si="52"/>
        <v>0</v>
      </c>
      <c r="M253" s="442">
        <f t="shared" si="52"/>
        <v>695</v>
      </c>
      <c r="N253" s="442">
        <f t="shared" si="52"/>
        <v>62</v>
      </c>
      <c r="O253" s="442">
        <f t="shared" si="52"/>
        <v>169</v>
      </c>
      <c r="P253" s="442">
        <f t="shared" si="52"/>
        <v>62</v>
      </c>
      <c r="Q253" s="442">
        <f t="shared" si="52"/>
        <v>141</v>
      </c>
      <c r="R253" s="459">
        <f t="shared" si="52"/>
        <v>4417.7</v>
      </c>
      <c r="S253" s="442">
        <f t="shared" si="52"/>
        <v>2632.7</v>
      </c>
      <c r="T253" s="442">
        <f t="shared" si="52"/>
        <v>60</v>
      </c>
      <c r="U253" s="442">
        <f t="shared" si="52"/>
        <v>4302.3</v>
      </c>
      <c r="V253" s="442">
        <f t="shared" si="52"/>
        <v>2569.3999999999996</v>
      </c>
      <c r="W253" s="442">
        <f t="shared" si="52"/>
        <v>2</v>
      </c>
      <c r="X253" s="442">
        <f t="shared" si="52"/>
        <v>115.4</v>
      </c>
      <c r="Y253" s="442">
        <f t="shared" si="52"/>
        <v>63.3</v>
      </c>
      <c r="Z253" s="442">
        <f t="shared" si="52"/>
        <v>0</v>
      </c>
      <c r="AA253" s="442">
        <f t="shared" si="52"/>
        <v>0</v>
      </c>
      <c r="AB253" s="442">
        <f t="shared" si="52"/>
        <v>0</v>
      </c>
      <c r="AC253" s="459">
        <f t="shared" si="52"/>
        <v>0</v>
      </c>
      <c r="AD253" s="442">
        <f t="shared" si="52"/>
        <v>0</v>
      </c>
      <c r="AE253" s="442">
        <f t="shared" si="52"/>
        <v>0</v>
      </c>
      <c r="AF253" s="442">
        <f t="shared" si="52"/>
        <v>0</v>
      </c>
      <c r="AG253" s="442">
        <f t="shared" si="52"/>
        <v>0</v>
      </c>
      <c r="AH253" s="442">
        <f t="shared" si="52"/>
        <v>0</v>
      </c>
      <c r="AI253" s="442">
        <f t="shared" si="52"/>
        <v>4417.7</v>
      </c>
      <c r="AJ253" s="442">
        <f t="shared" si="52"/>
        <v>0</v>
      </c>
      <c r="AK253" s="442">
        <f t="shared" si="52"/>
        <v>2</v>
      </c>
      <c r="AL253" s="442">
        <f t="shared" si="52"/>
        <v>2</v>
      </c>
      <c r="AM253" s="442">
        <f t="shared" si="52"/>
        <v>2</v>
      </c>
      <c r="AN253" s="442">
        <f t="shared" si="52"/>
        <v>0</v>
      </c>
      <c r="AO253" s="442">
        <f t="shared" si="52"/>
        <v>2</v>
      </c>
      <c r="AP253" s="442">
        <f t="shared" si="52"/>
        <v>3930</v>
      </c>
      <c r="AQ253" s="442">
        <f t="shared" si="52"/>
        <v>0</v>
      </c>
      <c r="AR253" s="442">
        <f t="shared" si="52"/>
        <v>262</v>
      </c>
      <c r="AS253" s="442">
        <f t="shared" si="52"/>
        <v>157</v>
      </c>
      <c r="AT253" s="442">
        <f t="shared" si="52"/>
        <v>140</v>
      </c>
      <c r="AU253" s="442">
        <f t="shared" si="52"/>
        <v>7246</v>
      </c>
      <c r="AV253" s="442">
        <f t="shared" si="52"/>
        <v>7246</v>
      </c>
      <c r="AW253" s="442">
        <f t="shared" si="52"/>
        <v>0</v>
      </c>
      <c r="AX253" s="442">
        <f t="shared" si="52"/>
        <v>2140</v>
      </c>
      <c r="AY253" s="442">
        <f t="shared" si="52"/>
        <v>136</v>
      </c>
      <c r="AZ253" s="442">
        <f t="shared" si="52"/>
        <v>663</v>
      </c>
      <c r="BA253" s="442">
        <f t="shared" si="52"/>
        <v>663</v>
      </c>
      <c r="BB253" s="442">
        <f t="shared" si="52"/>
        <v>34</v>
      </c>
      <c r="BC253" s="442">
        <f t="shared" si="52"/>
        <v>4</v>
      </c>
      <c r="BD253" s="442">
        <f t="shared" si="52"/>
        <v>231</v>
      </c>
      <c r="BE253" s="442">
        <f t="shared" si="52"/>
        <v>603</v>
      </c>
      <c r="BF253" s="442">
        <f t="shared" si="52"/>
        <v>2</v>
      </c>
      <c r="BG253" s="442">
        <f t="shared" si="52"/>
        <v>3570</v>
      </c>
      <c r="BH253" s="442">
        <f t="shared" si="52"/>
        <v>1400</v>
      </c>
      <c r="BI253" s="442">
        <f t="shared" si="52"/>
        <v>90</v>
      </c>
      <c r="BJ253" s="442">
        <f t="shared" si="52"/>
        <v>0</v>
      </c>
      <c r="BK253" s="442">
        <f t="shared" si="52"/>
        <v>0</v>
      </c>
      <c r="BL253" s="442">
        <f t="shared" si="52"/>
        <v>0</v>
      </c>
      <c r="BM253" s="442">
        <f t="shared" si="52"/>
        <v>1</v>
      </c>
      <c r="BN253" s="442">
        <f t="shared" si="52"/>
        <v>4417.7</v>
      </c>
      <c r="BO253" s="442">
        <f t="shared" si="52"/>
        <v>2632.7</v>
      </c>
      <c r="BP253" s="442">
        <f t="shared" si="52"/>
        <v>0</v>
      </c>
      <c r="BQ253" s="442">
        <f t="shared" si="52"/>
        <v>0</v>
      </c>
      <c r="BR253" s="442">
        <f t="shared" si="52"/>
        <v>0</v>
      </c>
      <c r="BS253" s="442">
        <f t="shared" si="52"/>
        <v>0</v>
      </c>
      <c r="BT253" s="442">
        <f t="shared" si="52"/>
        <v>2</v>
      </c>
      <c r="BU253" s="442">
        <f t="shared" si="52"/>
        <v>663</v>
      </c>
      <c r="BV253" s="442">
        <f t="shared" ref="BV253:CK253" si="53">BV9</f>
        <v>6863</v>
      </c>
      <c r="BW253" s="442">
        <f t="shared" si="53"/>
        <v>0</v>
      </c>
      <c r="BX253" s="442">
        <f t="shared" si="53"/>
        <v>0</v>
      </c>
      <c r="BY253" s="442">
        <f t="shared" si="53"/>
        <v>1183.4000000000001</v>
      </c>
      <c r="BZ253" s="442">
        <f t="shared" si="53"/>
        <v>517.70000000000005</v>
      </c>
      <c r="CA253" s="442">
        <f t="shared" si="53"/>
        <v>1646</v>
      </c>
      <c r="CB253" s="442">
        <f t="shared" si="53"/>
        <v>940</v>
      </c>
      <c r="CC253" s="442">
        <f t="shared" si="53"/>
        <v>1</v>
      </c>
      <c r="CD253" s="442">
        <f t="shared" si="53"/>
        <v>7246</v>
      </c>
      <c r="CE253" s="442" t="str">
        <f t="shared" si="53"/>
        <v>0</v>
      </c>
      <c r="CF253" s="442">
        <f t="shared" si="53"/>
        <v>0</v>
      </c>
      <c r="CG253" s="442">
        <f t="shared" si="53"/>
        <v>1</v>
      </c>
      <c r="CH253" s="442">
        <f t="shared" si="53"/>
        <v>7246</v>
      </c>
      <c r="CI253" s="456">
        <f t="shared" si="53"/>
        <v>29</v>
      </c>
      <c r="CJ253" s="457" t="str">
        <f t="shared" si="53"/>
        <v>0</v>
      </c>
      <c r="CK253" s="457" t="str">
        <f t="shared" si="53"/>
        <v>0</v>
      </c>
      <c r="CL253" s="458"/>
      <c r="CM253" s="457" t="str">
        <f t="shared" ref="CM253:CN253" si="54">CM9</f>
        <v>0</v>
      </c>
      <c r="CN253" s="457" t="str">
        <f t="shared" si="54"/>
        <v>0</v>
      </c>
      <c r="CO253" s="458"/>
      <c r="CP253" s="442">
        <f t="shared" ref="CP253:DQ253" si="55">CP9</f>
        <v>1</v>
      </c>
      <c r="CQ253" s="442">
        <f t="shared" si="55"/>
        <v>0</v>
      </c>
      <c r="CR253" s="442">
        <f t="shared" si="55"/>
        <v>0</v>
      </c>
      <c r="CS253" s="442">
        <f t="shared" si="55"/>
        <v>0</v>
      </c>
      <c r="CT253" s="442">
        <f t="shared" si="55"/>
        <v>2</v>
      </c>
      <c r="CU253" s="442">
        <f t="shared" si="55"/>
        <v>0</v>
      </c>
      <c r="CV253" s="442">
        <f t="shared" si="55"/>
        <v>0</v>
      </c>
      <c r="CW253" s="442">
        <f t="shared" si="55"/>
        <v>0</v>
      </c>
      <c r="CX253" s="442">
        <f t="shared" si="55"/>
        <v>0</v>
      </c>
      <c r="CY253" s="442">
        <f t="shared" si="55"/>
        <v>62</v>
      </c>
      <c r="CZ253" s="442">
        <f t="shared" si="55"/>
        <v>60</v>
      </c>
      <c r="DA253" s="442">
        <f t="shared" si="55"/>
        <v>2</v>
      </c>
      <c r="DB253" s="442">
        <f t="shared" si="55"/>
        <v>57</v>
      </c>
      <c r="DC253" s="442">
        <f t="shared" si="55"/>
        <v>45</v>
      </c>
      <c r="DD253" s="442">
        <f t="shared" si="55"/>
        <v>93</v>
      </c>
      <c r="DE253" s="442">
        <f t="shared" si="55"/>
        <v>57</v>
      </c>
      <c r="DF253" s="442">
        <f t="shared" si="55"/>
        <v>45</v>
      </c>
      <c r="DG253" s="442">
        <f t="shared" si="55"/>
        <v>93</v>
      </c>
      <c r="DH253" s="442">
        <f t="shared" si="55"/>
        <v>57</v>
      </c>
      <c r="DI253" s="442">
        <f t="shared" si="55"/>
        <v>2</v>
      </c>
      <c r="DJ253" s="442">
        <f t="shared" si="55"/>
        <v>1</v>
      </c>
      <c r="DK253" s="442">
        <f t="shared" si="55"/>
        <v>4</v>
      </c>
      <c r="DL253" s="442">
        <f t="shared" si="55"/>
        <v>2</v>
      </c>
      <c r="DM253" s="442">
        <f t="shared" si="55"/>
        <v>1</v>
      </c>
      <c r="DN253" s="442">
        <f t="shared" si="55"/>
        <v>4</v>
      </c>
      <c r="DO253" s="442">
        <f t="shared" si="55"/>
        <v>2</v>
      </c>
      <c r="DP253" s="442">
        <f t="shared" si="55"/>
        <v>62</v>
      </c>
      <c r="DQ253" s="442">
        <f t="shared" si="55"/>
        <v>62</v>
      </c>
      <c r="DR253" s="301"/>
    </row>
    <row r="254" spans="1:122" s="36" customFormat="1" hidden="1">
      <c r="B254" s="452"/>
      <c r="C254" s="453" t="s">
        <v>13</v>
      </c>
      <c r="D254" s="440"/>
      <c r="E254" s="441"/>
      <c r="F254" s="441"/>
      <c r="G254" s="442">
        <f>G8+G10+G12+G13+G15+G17+G20+G21+G23+G26+G27+G28+G36+G39+G40</f>
        <v>15</v>
      </c>
      <c r="H254" s="454">
        <v>9</v>
      </c>
      <c r="I254" s="455"/>
      <c r="J254" s="442">
        <f t="shared" ref="J254:BU254" si="56">J8+J10+J12+J13+J15+J17+J20+J21+J23+J26+J27+J28+J36+J39+J40</f>
        <v>598841</v>
      </c>
      <c r="K254" s="442">
        <f t="shared" si="56"/>
        <v>23176</v>
      </c>
      <c r="L254" s="442">
        <f t="shared" si="56"/>
        <v>0</v>
      </c>
      <c r="M254" s="442">
        <f t="shared" si="56"/>
        <v>22166</v>
      </c>
      <c r="N254" s="442">
        <f t="shared" si="56"/>
        <v>2105</v>
      </c>
      <c r="O254" s="442">
        <f t="shared" si="56"/>
        <v>5539</v>
      </c>
      <c r="P254" s="442">
        <f t="shared" si="56"/>
        <v>2130</v>
      </c>
      <c r="Q254" s="442">
        <f t="shared" si="56"/>
        <v>5058</v>
      </c>
      <c r="R254" s="459">
        <f t="shared" si="56"/>
        <v>133435.16</v>
      </c>
      <c r="S254" s="442">
        <f t="shared" si="56"/>
        <v>82737.599999999991</v>
      </c>
      <c r="T254" s="442">
        <f t="shared" si="56"/>
        <v>1934</v>
      </c>
      <c r="U254" s="442">
        <f t="shared" si="56"/>
        <v>122238.36</v>
      </c>
      <c r="V254" s="442">
        <f t="shared" si="56"/>
        <v>75738.3</v>
      </c>
      <c r="W254" s="442">
        <f t="shared" si="56"/>
        <v>171</v>
      </c>
      <c r="X254" s="442">
        <f t="shared" si="56"/>
        <v>11196.799999999997</v>
      </c>
      <c r="Y254" s="442">
        <f t="shared" si="56"/>
        <v>6999.3</v>
      </c>
      <c r="Z254" s="442">
        <f t="shared" si="56"/>
        <v>0</v>
      </c>
      <c r="AA254" s="442">
        <f t="shared" si="56"/>
        <v>0</v>
      </c>
      <c r="AB254" s="442">
        <f t="shared" si="56"/>
        <v>0</v>
      </c>
      <c r="AC254" s="459">
        <f t="shared" si="56"/>
        <v>586.90000000000009</v>
      </c>
      <c r="AD254" s="442">
        <f t="shared" si="56"/>
        <v>299.60000000000002</v>
      </c>
      <c r="AE254" s="442">
        <f t="shared" si="56"/>
        <v>0</v>
      </c>
      <c r="AF254" s="442">
        <f t="shared" si="56"/>
        <v>299.60000000000002</v>
      </c>
      <c r="AG254" s="442">
        <f t="shared" si="56"/>
        <v>287.29999999999995</v>
      </c>
      <c r="AH254" s="442">
        <f t="shared" si="56"/>
        <v>0</v>
      </c>
      <c r="AI254" s="442">
        <f t="shared" si="56"/>
        <v>134022.06</v>
      </c>
      <c r="AJ254" s="442">
        <f t="shared" si="56"/>
        <v>0</v>
      </c>
      <c r="AK254" s="442">
        <f t="shared" si="56"/>
        <v>59</v>
      </c>
      <c r="AL254" s="442">
        <f t="shared" si="56"/>
        <v>59</v>
      </c>
      <c r="AM254" s="442">
        <f t="shared" si="56"/>
        <v>58</v>
      </c>
      <c r="AN254" s="442">
        <f t="shared" si="56"/>
        <v>0</v>
      </c>
      <c r="AO254" s="442">
        <f t="shared" si="56"/>
        <v>59</v>
      </c>
      <c r="AP254" s="442">
        <f t="shared" si="56"/>
        <v>107890</v>
      </c>
      <c r="AQ254" s="442">
        <f t="shared" si="56"/>
        <v>2915</v>
      </c>
      <c r="AR254" s="442">
        <f t="shared" si="56"/>
        <v>8759</v>
      </c>
      <c r="AS254" s="442">
        <f t="shared" si="56"/>
        <v>6616</v>
      </c>
      <c r="AT254" s="442">
        <f t="shared" si="56"/>
        <v>8437</v>
      </c>
      <c r="AU254" s="442">
        <f t="shared" si="56"/>
        <v>216509</v>
      </c>
      <c r="AV254" s="442">
        <f t="shared" si="56"/>
        <v>105070</v>
      </c>
      <c r="AW254" s="442">
        <f t="shared" si="56"/>
        <v>111439</v>
      </c>
      <c r="AX254" s="442">
        <f t="shared" si="56"/>
        <v>52630</v>
      </c>
      <c r="AY254" s="442">
        <f t="shared" si="56"/>
        <v>4557</v>
      </c>
      <c r="AZ254" s="442">
        <f t="shared" si="56"/>
        <v>21674</v>
      </c>
      <c r="BA254" s="442">
        <f t="shared" si="56"/>
        <v>21674</v>
      </c>
      <c r="BB254" s="442">
        <f t="shared" si="56"/>
        <v>1003</v>
      </c>
      <c r="BC254" s="442">
        <f t="shared" si="56"/>
        <v>118</v>
      </c>
      <c r="BD254" s="442">
        <f t="shared" si="56"/>
        <v>7561</v>
      </c>
      <c r="BE254" s="442">
        <f t="shared" si="56"/>
        <v>19746</v>
      </c>
      <c r="BF254" s="442">
        <f t="shared" si="56"/>
        <v>2</v>
      </c>
      <c r="BG254" s="442">
        <f t="shared" si="56"/>
        <v>224200</v>
      </c>
      <c r="BH254" s="442">
        <f t="shared" si="56"/>
        <v>96465</v>
      </c>
      <c r="BI254" s="442">
        <f t="shared" si="56"/>
        <v>4265</v>
      </c>
      <c r="BJ254" s="442">
        <f t="shared" si="56"/>
        <v>0</v>
      </c>
      <c r="BK254" s="442">
        <f t="shared" si="56"/>
        <v>0</v>
      </c>
      <c r="BL254" s="442">
        <f t="shared" si="56"/>
        <v>0</v>
      </c>
      <c r="BM254" s="442">
        <f t="shared" si="56"/>
        <v>12</v>
      </c>
      <c r="BN254" s="442">
        <f t="shared" si="56"/>
        <v>85767.459999999992</v>
      </c>
      <c r="BO254" s="442">
        <f t="shared" si="56"/>
        <v>53504.5</v>
      </c>
      <c r="BP254" s="442">
        <f t="shared" si="56"/>
        <v>3</v>
      </c>
      <c r="BQ254" s="442">
        <f t="shared" si="56"/>
        <v>47667.700000000004</v>
      </c>
      <c r="BR254" s="442">
        <f t="shared" si="56"/>
        <v>29233.1</v>
      </c>
      <c r="BS254" s="442">
        <f t="shared" si="56"/>
        <v>0</v>
      </c>
      <c r="BT254" s="442">
        <f t="shared" si="56"/>
        <v>44</v>
      </c>
      <c r="BU254" s="442">
        <f t="shared" si="56"/>
        <v>0</v>
      </c>
      <c r="BV254" s="442">
        <f t="shared" ref="BV254:CK254" si="57">BV8+BV10+BV12+BV13+BV15+BV17+BV20+BV21+BV23+BV26+BV27+BV28+BV36+BV39+BV40</f>
        <v>0</v>
      </c>
      <c r="BW254" s="442">
        <f t="shared" si="57"/>
        <v>0</v>
      </c>
      <c r="BX254" s="442">
        <f t="shared" si="57"/>
        <v>10830</v>
      </c>
      <c r="BY254" s="442">
        <f t="shared" si="57"/>
        <v>30505.129999999994</v>
      </c>
      <c r="BZ254" s="442">
        <f t="shared" si="57"/>
        <v>23219.140000000003</v>
      </c>
      <c r="CA254" s="442">
        <f t="shared" si="57"/>
        <v>50900</v>
      </c>
      <c r="CB254" s="442">
        <f t="shared" si="57"/>
        <v>27724</v>
      </c>
      <c r="CC254" s="442">
        <f t="shared" si="57"/>
        <v>5</v>
      </c>
      <c r="CD254" s="442">
        <f t="shared" si="57"/>
        <v>105070</v>
      </c>
      <c r="CE254" s="442">
        <f t="shared" si="57"/>
        <v>10</v>
      </c>
      <c r="CF254" s="442">
        <f t="shared" si="57"/>
        <v>111439</v>
      </c>
      <c r="CG254" s="442">
        <f t="shared" si="57"/>
        <v>15</v>
      </c>
      <c r="CH254" s="442">
        <f t="shared" si="57"/>
        <v>216509</v>
      </c>
      <c r="CI254" s="456">
        <f t="shared" si="57"/>
        <v>443</v>
      </c>
      <c r="CJ254" s="457">
        <f t="shared" si="57"/>
        <v>0</v>
      </c>
      <c r="CK254" s="457">
        <f t="shared" si="57"/>
        <v>0</v>
      </c>
      <c r="CL254" s="458"/>
      <c r="CM254" s="457">
        <f t="shared" ref="CM254:CN254" si="58">CM8+CM10+CM12+CM13+CM15+CM17+CM20+CM21+CM23+CM26+CM27+CM28+CM36+CM39+CM40</f>
        <v>0</v>
      </c>
      <c r="CN254" s="457">
        <f t="shared" si="58"/>
        <v>0</v>
      </c>
      <c r="CO254" s="458"/>
      <c r="CP254" s="442">
        <f t="shared" ref="CP254:DQ254" si="59">CP8+CP10+CP12+CP13+CP15+CP17+CP20+CP21+CP23+CP26+CP27+CP28+CP36+CP39+CP40</f>
        <v>15</v>
      </c>
      <c r="CQ254" s="442">
        <f t="shared" si="59"/>
        <v>2</v>
      </c>
      <c r="CR254" s="442">
        <f t="shared" si="59"/>
        <v>2</v>
      </c>
      <c r="CS254" s="442">
        <f t="shared" si="59"/>
        <v>2</v>
      </c>
      <c r="CT254" s="442">
        <f t="shared" si="59"/>
        <v>44</v>
      </c>
      <c r="CU254" s="442">
        <f t="shared" si="59"/>
        <v>0</v>
      </c>
      <c r="CV254" s="442">
        <f t="shared" si="59"/>
        <v>0</v>
      </c>
      <c r="CW254" s="442">
        <f t="shared" si="59"/>
        <v>0</v>
      </c>
      <c r="CX254" s="442">
        <f t="shared" si="59"/>
        <v>5</v>
      </c>
      <c r="CY254" s="442">
        <f t="shared" si="59"/>
        <v>2105</v>
      </c>
      <c r="CZ254" s="442">
        <f t="shared" si="59"/>
        <v>1971</v>
      </c>
      <c r="DA254" s="442">
        <f t="shared" si="59"/>
        <v>134</v>
      </c>
      <c r="DB254" s="442">
        <f t="shared" si="59"/>
        <v>1877</v>
      </c>
      <c r="DC254" s="442">
        <f t="shared" si="59"/>
        <v>1380</v>
      </c>
      <c r="DD254" s="442">
        <f t="shared" si="59"/>
        <v>3323</v>
      </c>
      <c r="DE254" s="442">
        <f t="shared" si="59"/>
        <v>1754</v>
      </c>
      <c r="DF254" s="442">
        <f t="shared" si="59"/>
        <v>1380</v>
      </c>
      <c r="DG254" s="442">
        <f t="shared" si="59"/>
        <v>3323</v>
      </c>
      <c r="DH254" s="442">
        <f t="shared" si="59"/>
        <v>1750</v>
      </c>
      <c r="DI254" s="442">
        <f t="shared" si="59"/>
        <v>112</v>
      </c>
      <c r="DJ254" s="442">
        <f t="shared" si="59"/>
        <v>46</v>
      </c>
      <c r="DK254" s="442">
        <f t="shared" si="59"/>
        <v>160</v>
      </c>
      <c r="DL254" s="442">
        <f t="shared" si="59"/>
        <v>56</v>
      </c>
      <c r="DM254" s="442">
        <f t="shared" si="59"/>
        <v>46</v>
      </c>
      <c r="DN254" s="442">
        <f t="shared" si="59"/>
        <v>160</v>
      </c>
      <c r="DO254" s="442">
        <f t="shared" si="59"/>
        <v>56</v>
      </c>
      <c r="DP254" s="442">
        <f t="shared" si="59"/>
        <v>2105</v>
      </c>
      <c r="DQ254" s="442">
        <f t="shared" si="59"/>
        <v>2105</v>
      </c>
      <c r="DR254" s="301"/>
    </row>
    <row r="255" spans="1:122" s="36" customFormat="1" hidden="1">
      <c r="B255" s="452"/>
      <c r="C255" s="453" t="s">
        <v>14</v>
      </c>
      <c r="D255" s="440"/>
      <c r="E255" s="441"/>
      <c r="F255" s="441"/>
      <c r="G255" s="442">
        <f>G41</f>
        <v>1</v>
      </c>
      <c r="H255" s="454">
        <v>12</v>
      </c>
      <c r="I255" s="455"/>
      <c r="J255" s="442">
        <f t="shared" ref="J255:BU255" si="60">J41</f>
        <v>53895</v>
      </c>
      <c r="K255" s="442">
        <f t="shared" si="60"/>
        <v>2835</v>
      </c>
      <c r="L255" s="442">
        <f t="shared" si="60"/>
        <v>0</v>
      </c>
      <c r="M255" s="442">
        <f t="shared" si="60"/>
        <v>2630</v>
      </c>
      <c r="N255" s="442">
        <f t="shared" si="60"/>
        <v>132</v>
      </c>
      <c r="O255" s="442">
        <f t="shared" si="60"/>
        <v>220</v>
      </c>
      <c r="P255" s="442">
        <f t="shared" si="60"/>
        <v>135</v>
      </c>
      <c r="Q255" s="442">
        <f t="shared" si="60"/>
        <v>209</v>
      </c>
      <c r="R255" s="459">
        <f t="shared" si="60"/>
        <v>6466.5</v>
      </c>
      <c r="S255" s="442">
        <f t="shared" si="60"/>
        <v>3480.2</v>
      </c>
      <c r="T255" s="442">
        <f t="shared" si="60"/>
        <v>119</v>
      </c>
      <c r="U255" s="442">
        <f t="shared" si="60"/>
        <v>5839.4</v>
      </c>
      <c r="V255" s="442">
        <f t="shared" si="60"/>
        <v>3143.9</v>
      </c>
      <c r="W255" s="442">
        <f t="shared" si="60"/>
        <v>13</v>
      </c>
      <c r="X255" s="442">
        <f t="shared" si="60"/>
        <v>627.1</v>
      </c>
      <c r="Y255" s="442">
        <f t="shared" si="60"/>
        <v>336.29999999999973</v>
      </c>
      <c r="Z255" s="442">
        <f t="shared" si="60"/>
        <v>0</v>
      </c>
      <c r="AA255" s="442">
        <f t="shared" si="60"/>
        <v>0</v>
      </c>
      <c r="AB255" s="442">
        <f t="shared" si="60"/>
        <v>0</v>
      </c>
      <c r="AC255" s="459">
        <f t="shared" si="60"/>
        <v>1377.5</v>
      </c>
      <c r="AD255" s="442">
        <f t="shared" si="60"/>
        <v>1377.5</v>
      </c>
      <c r="AE255" s="442">
        <f t="shared" si="60"/>
        <v>0</v>
      </c>
      <c r="AF255" s="442">
        <f t="shared" si="60"/>
        <v>1377.5</v>
      </c>
      <c r="AG255" s="442">
        <f t="shared" si="60"/>
        <v>0</v>
      </c>
      <c r="AH255" s="442">
        <f t="shared" si="60"/>
        <v>0</v>
      </c>
      <c r="AI255" s="442">
        <f t="shared" si="60"/>
        <v>7844</v>
      </c>
      <c r="AJ255" s="442">
        <f t="shared" si="60"/>
        <v>0</v>
      </c>
      <c r="AK255" s="442">
        <f t="shared" si="60"/>
        <v>4</v>
      </c>
      <c r="AL255" s="442">
        <f t="shared" si="60"/>
        <v>2</v>
      </c>
      <c r="AM255" s="442">
        <f t="shared" si="60"/>
        <v>2</v>
      </c>
      <c r="AN255" s="442">
        <f t="shared" si="60"/>
        <v>0</v>
      </c>
      <c r="AO255" s="442">
        <f t="shared" si="60"/>
        <v>2</v>
      </c>
      <c r="AP255" s="442">
        <f t="shared" si="60"/>
        <v>11200</v>
      </c>
      <c r="AQ255" s="442">
        <f t="shared" si="60"/>
        <v>0</v>
      </c>
      <c r="AR255" s="442">
        <f t="shared" si="60"/>
        <v>1120</v>
      </c>
      <c r="AS255" s="442">
        <f t="shared" si="60"/>
        <v>512</v>
      </c>
      <c r="AT255" s="442">
        <f t="shared" si="60"/>
        <v>312</v>
      </c>
      <c r="AU255" s="442">
        <f t="shared" si="60"/>
        <v>17584</v>
      </c>
      <c r="AV255" s="442">
        <f t="shared" si="60"/>
        <v>0</v>
      </c>
      <c r="AW255" s="442">
        <f t="shared" si="60"/>
        <v>17584</v>
      </c>
      <c r="AX255" s="442">
        <f t="shared" si="60"/>
        <v>0</v>
      </c>
      <c r="AY255" s="442">
        <f t="shared" si="60"/>
        <v>307</v>
      </c>
      <c r="AZ255" s="442">
        <f t="shared" si="60"/>
        <v>2448</v>
      </c>
      <c r="BA255" s="442">
        <f t="shared" si="60"/>
        <v>2448</v>
      </c>
      <c r="BB255" s="442">
        <f t="shared" si="60"/>
        <v>0</v>
      </c>
      <c r="BC255" s="442">
        <f t="shared" si="60"/>
        <v>4</v>
      </c>
      <c r="BD255" s="442">
        <f t="shared" si="60"/>
        <v>352</v>
      </c>
      <c r="BE255" s="442">
        <f t="shared" si="60"/>
        <v>1146</v>
      </c>
      <c r="BF255" s="442">
        <f t="shared" si="60"/>
        <v>0</v>
      </c>
      <c r="BG255" s="442">
        <f t="shared" si="60"/>
        <v>15200</v>
      </c>
      <c r="BH255" s="442">
        <f t="shared" si="60"/>
        <v>6540</v>
      </c>
      <c r="BI255" s="442">
        <f t="shared" si="60"/>
        <v>240</v>
      </c>
      <c r="BJ255" s="442">
        <f t="shared" si="60"/>
        <v>1</v>
      </c>
      <c r="BK255" s="442">
        <f t="shared" si="60"/>
        <v>6466.5</v>
      </c>
      <c r="BL255" s="442">
        <f t="shared" si="60"/>
        <v>3480.2</v>
      </c>
      <c r="BM255" s="442">
        <f t="shared" si="60"/>
        <v>0</v>
      </c>
      <c r="BN255" s="442">
        <f t="shared" si="60"/>
        <v>0</v>
      </c>
      <c r="BO255" s="442">
        <f t="shared" si="60"/>
        <v>0</v>
      </c>
      <c r="BP255" s="442">
        <f t="shared" si="60"/>
        <v>0</v>
      </c>
      <c r="BQ255" s="442">
        <f t="shared" si="60"/>
        <v>0</v>
      </c>
      <c r="BR255" s="442">
        <f t="shared" si="60"/>
        <v>0</v>
      </c>
      <c r="BS255" s="442">
        <f t="shared" si="60"/>
        <v>0</v>
      </c>
      <c r="BT255" s="442">
        <f t="shared" si="60"/>
        <v>3</v>
      </c>
      <c r="BU255" s="442">
        <f t="shared" si="60"/>
        <v>2448</v>
      </c>
      <c r="BV255" s="442">
        <f t="shared" ref="BV255:CK255" si="61">BV41</f>
        <v>10480</v>
      </c>
      <c r="BW255" s="442">
        <f t="shared" si="61"/>
        <v>0</v>
      </c>
      <c r="BX255" s="442">
        <f t="shared" si="61"/>
        <v>11200</v>
      </c>
      <c r="BY255" s="442">
        <f t="shared" si="61"/>
        <v>2589.7999999999997</v>
      </c>
      <c r="BZ255" s="442">
        <f t="shared" si="61"/>
        <v>2084.4</v>
      </c>
      <c r="CA255" s="442">
        <f t="shared" si="61"/>
        <v>6817</v>
      </c>
      <c r="CB255" s="442">
        <f t="shared" si="61"/>
        <v>3982</v>
      </c>
      <c r="CC255" s="442" t="str">
        <f t="shared" si="61"/>
        <v>0</v>
      </c>
      <c r="CD255" s="442">
        <f t="shared" si="61"/>
        <v>0</v>
      </c>
      <c r="CE255" s="442">
        <f t="shared" si="61"/>
        <v>1</v>
      </c>
      <c r="CF255" s="442">
        <f t="shared" si="61"/>
        <v>17584</v>
      </c>
      <c r="CG255" s="442">
        <f t="shared" si="61"/>
        <v>1</v>
      </c>
      <c r="CH255" s="442">
        <f t="shared" si="61"/>
        <v>17584</v>
      </c>
      <c r="CI255" s="456">
        <f t="shared" si="61"/>
        <v>31</v>
      </c>
      <c r="CJ255" s="457" t="str">
        <f t="shared" si="61"/>
        <v>0</v>
      </c>
      <c r="CK255" s="457" t="str">
        <f t="shared" si="61"/>
        <v>0</v>
      </c>
      <c r="CL255" s="458"/>
      <c r="CM255" s="457" t="str">
        <f t="shared" ref="CM255:CN255" si="62">CM41</f>
        <v>0</v>
      </c>
      <c r="CN255" s="457" t="str">
        <f t="shared" si="62"/>
        <v>0</v>
      </c>
      <c r="CO255" s="458"/>
      <c r="CP255" s="442">
        <f t="shared" ref="CP255:DQ255" si="63">CP41</f>
        <v>1</v>
      </c>
      <c r="CQ255" s="442">
        <f t="shared" si="63"/>
        <v>0</v>
      </c>
      <c r="CR255" s="442">
        <f t="shared" si="63"/>
        <v>0</v>
      </c>
      <c r="CS255" s="442">
        <f t="shared" si="63"/>
        <v>0</v>
      </c>
      <c r="CT255" s="442">
        <f t="shared" si="63"/>
        <v>4</v>
      </c>
      <c r="CU255" s="442">
        <f t="shared" si="63"/>
        <v>0</v>
      </c>
      <c r="CV255" s="442">
        <f t="shared" si="63"/>
        <v>0</v>
      </c>
      <c r="CW255" s="442">
        <f t="shared" si="63"/>
        <v>0</v>
      </c>
      <c r="CX255" s="442">
        <f t="shared" si="63"/>
        <v>0</v>
      </c>
      <c r="CY255" s="442">
        <f t="shared" si="63"/>
        <v>132</v>
      </c>
      <c r="CZ255" s="442">
        <f t="shared" si="63"/>
        <v>124</v>
      </c>
      <c r="DA255" s="442">
        <f t="shared" si="63"/>
        <v>8</v>
      </c>
      <c r="DB255" s="442">
        <f t="shared" si="63"/>
        <v>121</v>
      </c>
      <c r="DC255" s="442">
        <f t="shared" si="63"/>
        <v>64</v>
      </c>
      <c r="DD255" s="442">
        <f t="shared" si="63"/>
        <v>127</v>
      </c>
      <c r="DE255" s="442">
        <f t="shared" si="63"/>
        <v>66</v>
      </c>
      <c r="DF255" s="442">
        <f t="shared" si="63"/>
        <v>64</v>
      </c>
      <c r="DG255" s="442">
        <f t="shared" si="63"/>
        <v>127</v>
      </c>
      <c r="DH255" s="442">
        <f t="shared" si="63"/>
        <v>66</v>
      </c>
      <c r="DI255" s="442">
        <f t="shared" si="63"/>
        <v>6</v>
      </c>
      <c r="DJ255" s="442">
        <f t="shared" si="63"/>
        <v>2</v>
      </c>
      <c r="DK255" s="442">
        <f t="shared" si="63"/>
        <v>8</v>
      </c>
      <c r="DL255" s="442">
        <f t="shared" si="63"/>
        <v>2</v>
      </c>
      <c r="DM255" s="442">
        <f t="shared" si="63"/>
        <v>2</v>
      </c>
      <c r="DN255" s="442">
        <f t="shared" si="63"/>
        <v>8</v>
      </c>
      <c r="DO255" s="442">
        <f t="shared" si="63"/>
        <v>2</v>
      </c>
      <c r="DP255" s="442">
        <f t="shared" si="63"/>
        <v>132</v>
      </c>
      <c r="DQ255" s="442">
        <f t="shared" si="63"/>
        <v>132</v>
      </c>
      <c r="DR255" s="301"/>
    </row>
    <row r="256" spans="1:122" s="36" customFormat="1" hidden="1">
      <c r="B256" s="452"/>
      <c r="C256" s="453" t="s">
        <v>17</v>
      </c>
      <c r="D256" s="301"/>
      <c r="E256" s="453"/>
      <c r="F256" s="453"/>
      <c r="G256" s="442">
        <f>G7+G11+G14+G16+G18+G19+G22+G24+G25+G29+G30+G31+G32+G33+G34+G35+G42+G43+G44</f>
        <v>19</v>
      </c>
      <c r="H256" s="460">
        <v>5</v>
      </c>
      <c r="I256" s="438"/>
      <c r="J256" s="442">
        <f t="shared" ref="J256:BU256" si="64">J7+J11+J14+J16+J18+J19+J22+J24+J25+J29+J30+J31+J32+J33+J34+J35+J42+J43+J44</f>
        <v>740190</v>
      </c>
      <c r="K256" s="442">
        <f t="shared" si="64"/>
        <v>44560</v>
      </c>
      <c r="L256" s="442">
        <f t="shared" si="64"/>
        <v>55135</v>
      </c>
      <c r="M256" s="442">
        <f t="shared" si="64"/>
        <v>0</v>
      </c>
      <c r="N256" s="442">
        <f t="shared" si="64"/>
        <v>1751</v>
      </c>
      <c r="O256" s="442">
        <f t="shared" si="64"/>
        <v>4456</v>
      </c>
      <c r="P256" s="442">
        <f t="shared" si="64"/>
        <v>1889</v>
      </c>
      <c r="Q256" s="442">
        <f t="shared" si="64"/>
        <v>3393</v>
      </c>
      <c r="R256" s="459">
        <f t="shared" si="64"/>
        <v>126168.15999999999</v>
      </c>
      <c r="S256" s="442">
        <f t="shared" si="64"/>
        <v>75933.420000000013</v>
      </c>
      <c r="T256" s="442">
        <f t="shared" si="64"/>
        <v>1553</v>
      </c>
      <c r="U256" s="442">
        <f t="shared" si="64"/>
        <v>111134.59000000003</v>
      </c>
      <c r="V256" s="442">
        <f t="shared" si="64"/>
        <v>66714.64</v>
      </c>
      <c r="W256" s="442">
        <f t="shared" si="64"/>
        <v>198</v>
      </c>
      <c r="X256" s="442">
        <f t="shared" si="64"/>
        <v>15033.57</v>
      </c>
      <c r="Y256" s="442">
        <f t="shared" si="64"/>
        <v>9218.7800000000025</v>
      </c>
      <c r="Z256" s="442">
        <f t="shared" si="64"/>
        <v>0</v>
      </c>
      <c r="AA256" s="442">
        <f t="shared" si="64"/>
        <v>0</v>
      </c>
      <c r="AB256" s="442">
        <f t="shared" si="64"/>
        <v>0</v>
      </c>
      <c r="AC256" s="459">
        <f t="shared" si="64"/>
        <v>33436.829999999994</v>
      </c>
      <c r="AD256" s="442">
        <f t="shared" si="64"/>
        <v>17559.91</v>
      </c>
      <c r="AE256" s="442">
        <f t="shared" si="64"/>
        <v>0</v>
      </c>
      <c r="AF256" s="442">
        <f t="shared" si="64"/>
        <v>17559.91</v>
      </c>
      <c r="AG256" s="442">
        <f t="shared" si="64"/>
        <v>15876.920000000004</v>
      </c>
      <c r="AH256" s="442">
        <f t="shared" si="64"/>
        <v>0</v>
      </c>
      <c r="AI256" s="442">
        <f t="shared" si="64"/>
        <v>159604.99000000002</v>
      </c>
      <c r="AJ256" s="442">
        <f t="shared" si="64"/>
        <v>0</v>
      </c>
      <c r="AK256" s="442">
        <f t="shared" si="64"/>
        <v>0</v>
      </c>
      <c r="AL256" s="442">
        <f t="shared" si="64"/>
        <v>104</v>
      </c>
      <c r="AM256" s="442">
        <f t="shared" si="64"/>
        <v>0</v>
      </c>
      <c r="AN256" s="442">
        <f t="shared" si="64"/>
        <v>0</v>
      </c>
      <c r="AO256" s="442">
        <f t="shared" si="64"/>
        <v>30</v>
      </c>
      <c r="AP256" s="442">
        <f t="shared" si="64"/>
        <v>108627</v>
      </c>
      <c r="AQ256" s="442">
        <f t="shared" si="64"/>
        <v>21684</v>
      </c>
      <c r="AR256" s="442">
        <f t="shared" si="64"/>
        <v>9575</v>
      </c>
      <c r="AS256" s="442">
        <f t="shared" si="64"/>
        <v>7959</v>
      </c>
      <c r="AT256" s="442">
        <f t="shared" si="64"/>
        <v>3180</v>
      </c>
      <c r="AU256" s="442">
        <f t="shared" si="64"/>
        <v>103130</v>
      </c>
      <c r="AV256" s="442">
        <f t="shared" si="64"/>
        <v>0</v>
      </c>
      <c r="AW256" s="442">
        <f t="shared" si="64"/>
        <v>103130</v>
      </c>
      <c r="AX256" s="442">
        <f t="shared" si="64"/>
        <v>0</v>
      </c>
      <c r="AY256" s="442">
        <f t="shared" si="64"/>
        <v>3212</v>
      </c>
      <c r="AZ256" s="442">
        <f t="shared" si="64"/>
        <v>43481</v>
      </c>
      <c r="BA256" s="442">
        <f t="shared" si="64"/>
        <v>43481</v>
      </c>
      <c r="BB256" s="442">
        <f t="shared" si="64"/>
        <v>516</v>
      </c>
      <c r="BC256" s="442">
        <f t="shared" si="64"/>
        <v>214</v>
      </c>
      <c r="BD256" s="442">
        <f t="shared" si="64"/>
        <v>6216</v>
      </c>
      <c r="BE256" s="442">
        <f t="shared" si="64"/>
        <v>17286</v>
      </c>
      <c r="BF256" s="442">
        <f t="shared" si="64"/>
        <v>0</v>
      </c>
      <c r="BG256" s="442">
        <f t="shared" si="64"/>
        <v>132643</v>
      </c>
      <c r="BH256" s="442">
        <f t="shared" si="64"/>
        <v>3844</v>
      </c>
      <c r="BI256" s="442">
        <f t="shared" si="64"/>
        <v>0</v>
      </c>
      <c r="BJ256" s="442">
        <f t="shared" si="64"/>
        <v>19</v>
      </c>
      <c r="BK256" s="442">
        <f t="shared" si="64"/>
        <v>126168.15999999999</v>
      </c>
      <c r="BL256" s="442">
        <f t="shared" si="64"/>
        <v>75933.420000000013</v>
      </c>
      <c r="BM256" s="442">
        <f t="shared" si="64"/>
        <v>0</v>
      </c>
      <c r="BN256" s="442">
        <f t="shared" si="64"/>
        <v>0</v>
      </c>
      <c r="BO256" s="442">
        <f t="shared" si="64"/>
        <v>0</v>
      </c>
      <c r="BP256" s="442">
        <f t="shared" si="64"/>
        <v>0</v>
      </c>
      <c r="BQ256" s="442">
        <f t="shared" si="64"/>
        <v>0</v>
      </c>
      <c r="BR256" s="442">
        <f t="shared" si="64"/>
        <v>0</v>
      </c>
      <c r="BS256" s="442">
        <f t="shared" si="64"/>
        <v>0</v>
      </c>
      <c r="BT256" s="442">
        <f t="shared" si="64"/>
        <v>78</v>
      </c>
      <c r="BU256" s="442">
        <f t="shared" si="64"/>
        <v>43481</v>
      </c>
      <c r="BV256" s="442">
        <f t="shared" ref="BV256:CK256" si="65">BV7+BV11+BV14+BV16+BV18+BV19+BV22+BV24+BV25+BV29+BV30+BV31+BV32+BV33+BV34+BV35+BV42+BV43+BV44</f>
        <v>118578</v>
      </c>
      <c r="BW256" s="442">
        <f t="shared" si="65"/>
        <v>0</v>
      </c>
      <c r="BX256" s="442">
        <f t="shared" si="65"/>
        <v>108627</v>
      </c>
      <c r="BY256" s="442">
        <f t="shared" si="65"/>
        <v>14027.710000000003</v>
      </c>
      <c r="BZ256" s="442">
        <f t="shared" si="65"/>
        <v>13524.490000000002</v>
      </c>
      <c r="CA256" s="442">
        <f t="shared" si="65"/>
        <v>106808</v>
      </c>
      <c r="CB256" s="442">
        <f t="shared" si="65"/>
        <v>62248</v>
      </c>
      <c r="CC256" s="442">
        <f t="shared" si="65"/>
        <v>0</v>
      </c>
      <c r="CD256" s="442">
        <f t="shared" si="65"/>
        <v>0</v>
      </c>
      <c r="CE256" s="442">
        <f t="shared" si="65"/>
        <v>19</v>
      </c>
      <c r="CF256" s="442">
        <f t="shared" si="65"/>
        <v>103130</v>
      </c>
      <c r="CG256" s="442">
        <f t="shared" si="65"/>
        <v>19</v>
      </c>
      <c r="CH256" s="442">
        <f t="shared" si="65"/>
        <v>103130</v>
      </c>
      <c r="CI256" s="456">
        <f t="shared" si="65"/>
        <v>895</v>
      </c>
      <c r="CJ256" s="457">
        <f t="shared" si="65"/>
        <v>1</v>
      </c>
      <c r="CK256" s="457">
        <f t="shared" si="65"/>
        <v>7919.92</v>
      </c>
      <c r="CL256" s="458"/>
      <c r="CM256" s="457">
        <f t="shared" ref="CM256:CN256" si="66">CM7+CM11+CM14+CM16+CM18+CM19+CM22+CM24+CM25+CM29+CM30+CM31+CM32+CM33+CM34+CM35+CM42+CM43+CM44</f>
        <v>0</v>
      </c>
      <c r="CN256" s="457">
        <f t="shared" si="66"/>
        <v>0</v>
      </c>
      <c r="CO256" s="458"/>
      <c r="CP256" s="442">
        <f t="shared" ref="CP256:DQ256" si="67">CP7+CP11+CP14+CP16+CP18+CP19+CP22+CP24+CP25+CP29+CP30+CP31+CP32+CP33+CP34+CP35+CP42+CP43+CP44</f>
        <v>19</v>
      </c>
      <c r="CQ256" s="442">
        <f t="shared" si="67"/>
        <v>0</v>
      </c>
      <c r="CR256" s="442">
        <f t="shared" si="67"/>
        <v>0</v>
      </c>
      <c r="CS256" s="442">
        <f t="shared" si="67"/>
        <v>0</v>
      </c>
      <c r="CT256" s="442">
        <f t="shared" si="67"/>
        <v>45</v>
      </c>
      <c r="CU256" s="442">
        <f t="shared" si="67"/>
        <v>0</v>
      </c>
      <c r="CV256" s="442">
        <f t="shared" si="67"/>
        <v>0</v>
      </c>
      <c r="CW256" s="442">
        <f t="shared" si="67"/>
        <v>0</v>
      </c>
      <c r="CX256" s="442">
        <f t="shared" si="67"/>
        <v>0</v>
      </c>
      <c r="CY256" s="442">
        <f t="shared" si="67"/>
        <v>1752</v>
      </c>
      <c r="CZ256" s="442">
        <f t="shared" si="67"/>
        <v>1656</v>
      </c>
      <c r="DA256" s="442">
        <f t="shared" si="67"/>
        <v>96</v>
      </c>
      <c r="DB256" s="442">
        <f t="shared" si="67"/>
        <v>1479</v>
      </c>
      <c r="DC256" s="442">
        <f t="shared" si="67"/>
        <v>560</v>
      </c>
      <c r="DD256" s="442">
        <f t="shared" si="67"/>
        <v>2509</v>
      </c>
      <c r="DE256" s="442">
        <f t="shared" si="67"/>
        <v>649</v>
      </c>
      <c r="DF256" s="442">
        <f t="shared" si="67"/>
        <v>560</v>
      </c>
      <c r="DG256" s="442">
        <f t="shared" si="67"/>
        <v>2509</v>
      </c>
      <c r="DH256" s="442">
        <f t="shared" si="67"/>
        <v>720</v>
      </c>
      <c r="DI256" s="442">
        <f t="shared" si="67"/>
        <v>75</v>
      </c>
      <c r="DJ256" s="442">
        <f t="shared" si="67"/>
        <v>14</v>
      </c>
      <c r="DK256" s="442">
        <f t="shared" si="67"/>
        <v>123</v>
      </c>
      <c r="DL256" s="442">
        <f t="shared" si="67"/>
        <v>15</v>
      </c>
      <c r="DM256" s="442">
        <f t="shared" si="67"/>
        <v>14</v>
      </c>
      <c r="DN256" s="442">
        <f t="shared" si="67"/>
        <v>124</v>
      </c>
      <c r="DO256" s="442">
        <f t="shared" si="67"/>
        <v>36</v>
      </c>
      <c r="DP256" s="442">
        <f t="shared" si="67"/>
        <v>1752</v>
      </c>
      <c r="DQ256" s="442">
        <f t="shared" si="67"/>
        <v>531</v>
      </c>
      <c r="DR256" s="301"/>
    </row>
    <row r="257" spans="2:122" s="36" customFormat="1" hidden="1">
      <c r="B257" s="452"/>
      <c r="C257" s="301" t="s">
        <v>18</v>
      </c>
      <c r="D257" s="301"/>
      <c r="E257" s="301"/>
      <c r="F257" s="301"/>
      <c r="G257" s="461">
        <f>G45+G46+G47+G49+G50+G51+G53</f>
        <v>7</v>
      </c>
      <c r="H257" s="462">
        <v>9</v>
      </c>
      <c r="I257" s="452"/>
      <c r="J257" s="461">
        <f t="shared" ref="J257:BU257" si="68">J45+J46+J47+J49+J50+J51+J53</f>
        <v>203832</v>
      </c>
      <c r="K257" s="461">
        <f t="shared" si="68"/>
        <v>8508</v>
      </c>
      <c r="L257" s="461">
        <f t="shared" si="68"/>
        <v>8441</v>
      </c>
      <c r="M257" s="461">
        <f t="shared" si="68"/>
        <v>1246</v>
      </c>
      <c r="N257" s="461">
        <f t="shared" si="68"/>
        <v>2419</v>
      </c>
      <c r="O257" s="461">
        <f t="shared" si="68"/>
        <v>2419</v>
      </c>
      <c r="P257" s="461">
        <f t="shared" si="68"/>
        <v>2414</v>
      </c>
      <c r="Q257" s="461">
        <f t="shared" si="68"/>
        <v>3075</v>
      </c>
      <c r="R257" s="463">
        <f t="shared" si="68"/>
        <v>46218.04</v>
      </c>
      <c r="S257" s="461">
        <f t="shared" si="68"/>
        <v>33707.31</v>
      </c>
      <c r="T257" s="461">
        <f t="shared" si="68"/>
        <v>1013</v>
      </c>
      <c r="U257" s="461">
        <f t="shared" si="68"/>
        <v>19401.95</v>
      </c>
      <c r="V257" s="461">
        <f t="shared" si="68"/>
        <v>14198.560000000001</v>
      </c>
      <c r="W257" s="461">
        <f t="shared" si="68"/>
        <v>1406</v>
      </c>
      <c r="X257" s="461">
        <f t="shared" si="68"/>
        <v>26816.090000000004</v>
      </c>
      <c r="Y257" s="461">
        <f t="shared" si="68"/>
        <v>19508.75</v>
      </c>
      <c r="Z257" s="461">
        <f t="shared" si="68"/>
        <v>0</v>
      </c>
      <c r="AA257" s="461">
        <f t="shared" si="68"/>
        <v>0</v>
      </c>
      <c r="AB257" s="461">
        <f t="shared" si="68"/>
        <v>0</v>
      </c>
      <c r="AC257" s="461">
        <f t="shared" si="68"/>
        <v>327.41999999999996</v>
      </c>
      <c r="AD257" s="461">
        <f t="shared" si="68"/>
        <v>327.41999999999996</v>
      </c>
      <c r="AE257" s="461">
        <f t="shared" si="68"/>
        <v>0</v>
      </c>
      <c r="AF257" s="461">
        <f t="shared" si="68"/>
        <v>327.41999999999996</v>
      </c>
      <c r="AG257" s="461">
        <f t="shared" si="68"/>
        <v>0</v>
      </c>
      <c r="AH257" s="461">
        <f t="shared" si="68"/>
        <v>0</v>
      </c>
      <c r="AI257" s="461">
        <f t="shared" si="68"/>
        <v>46545.460000000006</v>
      </c>
      <c r="AJ257" s="461">
        <f t="shared" si="68"/>
        <v>0</v>
      </c>
      <c r="AK257" s="461">
        <f t="shared" si="68"/>
        <v>14</v>
      </c>
      <c r="AL257" s="461">
        <f t="shared" si="68"/>
        <v>14</v>
      </c>
      <c r="AM257" s="461">
        <f t="shared" si="68"/>
        <v>7</v>
      </c>
      <c r="AN257" s="461">
        <f t="shared" si="68"/>
        <v>0</v>
      </c>
      <c r="AO257" s="461">
        <f t="shared" si="68"/>
        <v>7</v>
      </c>
      <c r="AP257" s="461">
        <f t="shared" si="68"/>
        <v>29125</v>
      </c>
      <c r="AQ257" s="461">
        <f t="shared" si="68"/>
        <v>0</v>
      </c>
      <c r="AR257" s="461">
        <f t="shared" si="68"/>
        <v>2268</v>
      </c>
      <c r="AS257" s="461">
        <f t="shared" si="68"/>
        <v>2098</v>
      </c>
      <c r="AT257" s="461">
        <f t="shared" si="68"/>
        <v>5448</v>
      </c>
      <c r="AU257" s="461">
        <f t="shared" si="68"/>
        <v>57940</v>
      </c>
      <c r="AV257" s="461">
        <f t="shared" si="68"/>
        <v>0</v>
      </c>
      <c r="AW257" s="461">
        <f t="shared" si="68"/>
        <v>57940</v>
      </c>
      <c r="AX257" s="461">
        <f t="shared" si="68"/>
        <v>22925</v>
      </c>
      <c r="AY257" s="461">
        <f t="shared" si="68"/>
        <v>1663</v>
      </c>
      <c r="AZ257" s="461">
        <f t="shared" si="68"/>
        <v>8230</v>
      </c>
      <c r="BA257" s="461">
        <f t="shared" si="68"/>
        <v>8230</v>
      </c>
      <c r="BB257" s="461">
        <f t="shared" si="68"/>
        <v>385</v>
      </c>
      <c r="BC257" s="461">
        <f t="shared" si="68"/>
        <v>444</v>
      </c>
      <c r="BD257" s="461">
        <f t="shared" si="68"/>
        <v>2695</v>
      </c>
      <c r="BE257" s="461">
        <f t="shared" si="68"/>
        <v>7715</v>
      </c>
      <c r="BF257" s="461">
        <f t="shared" si="68"/>
        <v>7</v>
      </c>
      <c r="BG257" s="461">
        <f t="shared" si="68"/>
        <v>86156</v>
      </c>
      <c r="BH257" s="461">
        <f t="shared" si="68"/>
        <v>3030</v>
      </c>
      <c r="BI257" s="461">
        <f t="shared" si="68"/>
        <v>1400</v>
      </c>
      <c r="BJ257" s="461">
        <f t="shared" si="68"/>
        <v>0</v>
      </c>
      <c r="BK257" s="461">
        <f t="shared" si="68"/>
        <v>0</v>
      </c>
      <c r="BL257" s="461">
        <f t="shared" si="68"/>
        <v>0</v>
      </c>
      <c r="BM257" s="461">
        <f t="shared" si="68"/>
        <v>7</v>
      </c>
      <c r="BN257" s="461">
        <f t="shared" si="68"/>
        <v>46218.04</v>
      </c>
      <c r="BO257" s="461">
        <f t="shared" si="68"/>
        <v>33707.31</v>
      </c>
      <c r="BP257" s="461">
        <f t="shared" si="68"/>
        <v>0</v>
      </c>
      <c r="BQ257" s="461">
        <f t="shared" si="68"/>
        <v>0</v>
      </c>
      <c r="BR257" s="461">
        <f t="shared" si="68"/>
        <v>0</v>
      </c>
      <c r="BS257" s="461">
        <f t="shared" si="68"/>
        <v>0</v>
      </c>
      <c r="BT257" s="461">
        <f t="shared" si="68"/>
        <v>1</v>
      </c>
      <c r="BU257" s="461">
        <f t="shared" si="68"/>
        <v>0</v>
      </c>
      <c r="BV257" s="461">
        <f t="shared" ref="BV257:CK257" si="69">BV45+BV46+BV47+BV49+BV50+BV51+BV53</f>
        <v>0</v>
      </c>
      <c r="BW257" s="461">
        <f t="shared" si="69"/>
        <v>40</v>
      </c>
      <c r="BX257" s="461">
        <f t="shared" si="69"/>
        <v>0</v>
      </c>
      <c r="BY257" s="461">
        <f t="shared" si="69"/>
        <v>13163.050000000001</v>
      </c>
      <c r="BZ257" s="461">
        <f t="shared" si="69"/>
        <v>13163.050000000001</v>
      </c>
      <c r="CA257" s="461">
        <f t="shared" si="69"/>
        <v>20899</v>
      </c>
      <c r="CB257" s="461">
        <f t="shared" si="69"/>
        <v>12391</v>
      </c>
      <c r="CC257" s="461">
        <f t="shared" si="69"/>
        <v>0</v>
      </c>
      <c r="CD257" s="461">
        <f t="shared" si="69"/>
        <v>0</v>
      </c>
      <c r="CE257" s="461">
        <f t="shared" si="69"/>
        <v>7</v>
      </c>
      <c r="CF257" s="461">
        <f t="shared" si="69"/>
        <v>57940</v>
      </c>
      <c r="CG257" s="461">
        <f t="shared" si="69"/>
        <v>7</v>
      </c>
      <c r="CH257" s="461">
        <f t="shared" si="69"/>
        <v>57940</v>
      </c>
      <c r="CI257" s="464">
        <f t="shared" si="69"/>
        <v>506</v>
      </c>
      <c r="CJ257" s="423">
        <f t="shared" si="69"/>
        <v>6</v>
      </c>
      <c r="CK257" s="423">
        <f t="shared" si="69"/>
        <v>40039.24</v>
      </c>
      <c r="CL257" s="458"/>
      <c r="CM257" s="423">
        <f t="shared" ref="CM257:CN257" si="70">CM45+CM46+CM47+CM49+CM50+CM51+CM53</f>
        <v>6</v>
      </c>
      <c r="CN257" s="423">
        <f t="shared" si="70"/>
        <v>40323.870000000003</v>
      </c>
      <c r="CO257" s="458"/>
      <c r="CP257" s="461">
        <f t="shared" ref="CP257:DQ257" si="71">CP45+CP46+CP47+CP49+CP50+CP51+CP53</f>
        <v>7</v>
      </c>
      <c r="CQ257" s="461">
        <f t="shared" si="71"/>
        <v>0</v>
      </c>
      <c r="CR257" s="461">
        <f t="shared" si="71"/>
        <v>0</v>
      </c>
      <c r="CS257" s="461">
        <f t="shared" si="71"/>
        <v>3</v>
      </c>
      <c r="CT257" s="461">
        <f t="shared" si="71"/>
        <v>13</v>
      </c>
      <c r="CU257" s="461">
        <f t="shared" si="71"/>
        <v>0</v>
      </c>
      <c r="CV257" s="461">
        <f t="shared" si="71"/>
        <v>0</v>
      </c>
      <c r="CW257" s="461">
        <f t="shared" si="71"/>
        <v>6</v>
      </c>
      <c r="CX257" s="461">
        <f t="shared" si="71"/>
        <v>0</v>
      </c>
      <c r="CY257" s="461">
        <f t="shared" si="71"/>
        <v>2404</v>
      </c>
      <c r="CZ257" s="461">
        <f t="shared" si="71"/>
        <v>1306</v>
      </c>
      <c r="DA257" s="461">
        <f t="shared" si="71"/>
        <v>1098</v>
      </c>
      <c r="DB257" s="461">
        <f t="shared" si="71"/>
        <v>426</v>
      </c>
      <c r="DC257" s="461">
        <f t="shared" si="71"/>
        <v>259</v>
      </c>
      <c r="DD257" s="461">
        <f t="shared" si="71"/>
        <v>1306</v>
      </c>
      <c r="DE257" s="461">
        <f t="shared" si="71"/>
        <v>259</v>
      </c>
      <c r="DF257" s="461">
        <f t="shared" si="71"/>
        <v>259</v>
      </c>
      <c r="DG257" s="461">
        <f t="shared" si="71"/>
        <v>1306</v>
      </c>
      <c r="DH257" s="461">
        <f t="shared" si="71"/>
        <v>259</v>
      </c>
      <c r="DI257" s="461">
        <f t="shared" si="71"/>
        <v>223</v>
      </c>
      <c r="DJ257" s="461">
        <f t="shared" si="71"/>
        <v>182</v>
      </c>
      <c r="DK257" s="461">
        <f t="shared" si="71"/>
        <v>1098</v>
      </c>
      <c r="DL257" s="461">
        <f t="shared" si="71"/>
        <v>182</v>
      </c>
      <c r="DM257" s="461">
        <f t="shared" si="71"/>
        <v>182</v>
      </c>
      <c r="DN257" s="461">
        <f t="shared" si="71"/>
        <v>1098</v>
      </c>
      <c r="DO257" s="461">
        <f t="shared" si="71"/>
        <v>182</v>
      </c>
      <c r="DP257" s="461">
        <f t="shared" si="71"/>
        <v>2404</v>
      </c>
      <c r="DQ257" s="461">
        <f t="shared" si="71"/>
        <v>2404</v>
      </c>
      <c r="DR257" s="301"/>
    </row>
    <row r="258" spans="2:122" hidden="1">
      <c r="C258" s="301" t="s">
        <v>167</v>
      </c>
      <c r="E258" s="465"/>
      <c r="F258" s="465"/>
      <c r="G258" s="378">
        <f>G48+G52+G54</f>
        <v>3</v>
      </c>
      <c r="H258" s="454">
        <v>5</v>
      </c>
      <c r="I258" s="466"/>
      <c r="J258" s="378">
        <f t="shared" ref="J258:BU258" si="72">J48+J52+J54</f>
        <v>43976</v>
      </c>
      <c r="K258" s="378">
        <f t="shared" si="72"/>
        <v>2933</v>
      </c>
      <c r="L258" s="378">
        <f t="shared" si="72"/>
        <v>3746</v>
      </c>
      <c r="M258" s="378">
        <f t="shared" si="72"/>
        <v>0</v>
      </c>
      <c r="N258" s="378">
        <f t="shared" si="72"/>
        <v>380</v>
      </c>
      <c r="O258" s="378">
        <f t="shared" si="72"/>
        <v>425</v>
      </c>
      <c r="P258" s="378">
        <f t="shared" si="72"/>
        <v>287</v>
      </c>
      <c r="Q258" s="378">
        <f t="shared" si="72"/>
        <v>214</v>
      </c>
      <c r="R258" s="467">
        <f t="shared" si="72"/>
        <v>7660.52</v>
      </c>
      <c r="S258" s="378">
        <f t="shared" si="72"/>
        <v>5301.27</v>
      </c>
      <c r="T258" s="378">
        <f t="shared" si="72"/>
        <v>41</v>
      </c>
      <c r="U258" s="378">
        <f t="shared" si="72"/>
        <v>814.3900000000001</v>
      </c>
      <c r="V258" s="378">
        <f t="shared" si="72"/>
        <v>577.92000000000019</v>
      </c>
      <c r="W258" s="378">
        <f t="shared" si="72"/>
        <v>338</v>
      </c>
      <c r="X258" s="378">
        <f t="shared" si="72"/>
        <v>6077.33</v>
      </c>
      <c r="Y258" s="378">
        <f t="shared" si="72"/>
        <v>4142.67</v>
      </c>
      <c r="Z258" s="378">
        <f t="shared" si="72"/>
        <v>1</v>
      </c>
      <c r="AA258" s="378">
        <f t="shared" si="72"/>
        <v>768.8</v>
      </c>
      <c r="AB258" s="378">
        <f t="shared" si="72"/>
        <v>580.67999999999995</v>
      </c>
      <c r="AC258" s="378">
        <f t="shared" si="72"/>
        <v>570.43000000000006</v>
      </c>
      <c r="AD258" s="468">
        <f t="shared" si="72"/>
        <v>277.23</v>
      </c>
      <c r="AE258" s="378">
        <f t="shared" si="72"/>
        <v>0</v>
      </c>
      <c r="AF258" s="378">
        <f t="shared" si="72"/>
        <v>277.23</v>
      </c>
      <c r="AG258" s="378">
        <f t="shared" si="72"/>
        <v>293.2</v>
      </c>
      <c r="AH258" s="378">
        <f t="shared" si="72"/>
        <v>0</v>
      </c>
      <c r="AI258" s="378">
        <f t="shared" si="72"/>
        <v>8230.9500000000007</v>
      </c>
      <c r="AJ258" s="378">
        <f t="shared" si="72"/>
        <v>0</v>
      </c>
      <c r="AK258" s="378">
        <f t="shared" si="72"/>
        <v>0</v>
      </c>
      <c r="AL258" s="378">
        <f t="shared" si="72"/>
        <v>8</v>
      </c>
      <c r="AM258" s="378">
        <f t="shared" si="72"/>
        <v>3</v>
      </c>
      <c r="AN258" s="378">
        <f t="shared" si="72"/>
        <v>0</v>
      </c>
      <c r="AO258" s="378">
        <f t="shared" si="72"/>
        <v>3</v>
      </c>
      <c r="AP258" s="378">
        <f t="shared" si="72"/>
        <v>7805</v>
      </c>
      <c r="AQ258" s="378">
        <f t="shared" si="72"/>
        <v>0</v>
      </c>
      <c r="AR258" s="378">
        <f t="shared" si="72"/>
        <v>897</v>
      </c>
      <c r="AS258" s="378">
        <f t="shared" si="72"/>
        <v>911</v>
      </c>
      <c r="AT258" s="378">
        <f t="shared" si="72"/>
        <v>1512</v>
      </c>
      <c r="AU258" s="378">
        <f t="shared" si="72"/>
        <v>7669</v>
      </c>
      <c r="AV258" s="378">
        <f t="shared" si="72"/>
        <v>0</v>
      </c>
      <c r="AW258" s="378">
        <f t="shared" si="72"/>
        <v>7669</v>
      </c>
      <c r="AX258" s="378">
        <f t="shared" si="72"/>
        <v>0</v>
      </c>
      <c r="AY258" s="378">
        <f t="shared" si="72"/>
        <v>493</v>
      </c>
      <c r="AZ258" s="378">
        <f t="shared" si="72"/>
        <v>3495</v>
      </c>
      <c r="BA258" s="378">
        <f t="shared" si="72"/>
        <v>3495</v>
      </c>
      <c r="BB258" s="378">
        <f t="shared" si="72"/>
        <v>56</v>
      </c>
      <c r="BC258" s="378">
        <f t="shared" si="72"/>
        <v>82</v>
      </c>
      <c r="BD258" s="378">
        <f t="shared" si="72"/>
        <v>618</v>
      </c>
      <c r="BE258" s="378">
        <f t="shared" si="72"/>
        <v>1598</v>
      </c>
      <c r="BF258" s="378">
        <f t="shared" si="72"/>
        <v>3</v>
      </c>
      <c r="BG258" s="378">
        <f t="shared" si="72"/>
        <v>11151</v>
      </c>
      <c r="BH258" s="378">
        <f t="shared" si="72"/>
        <v>470</v>
      </c>
      <c r="BI258" s="378">
        <f t="shared" si="72"/>
        <v>0</v>
      </c>
      <c r="BJ258" s="378">
        <f t="shared" si="72"/>
        <v>3</v>
      </c>
      <c r="BK258" s="378">
        <f t="shared" si="72"/>
        <v>7660.52</v>
      </c>
      <c r="BL258" s="378">
        <f t="shared" si="72"/>
        <v>5301.27</v>
      </c>
      <c r="BM258" s="378">
        <f t="shared" si="72"/>
        <v>0</v>
      </c>
      <c r="BN258" s="378">
        <f t="shared" si="72"/>
        <v>0</v>
      </c>
      <c r="BO258" s="378">
        <f t="shared" si="72"/>
        <v>0</v>
      </c>
      <c r="BP258" s="378">
        <f t="shared" si="72"/>
        <v>0</v>
      </c>
      <c r="BQ258" s="378">
        <f t="shared" si="72"/>
        <v>0</v>
      </c>
      <c r="BR258" s="378">
        <f t="shared" si="72"/>
        <v>0</v>
      </c>
      <c r="BS258" s="378">
        <f t="shared" si="72"/>
        <v>0</v>
      </c>
      <c r="BT258" s="378">
        <f t="shared" si="72"/>
        <v>0</v>
      </c>
      <c r="BU258" s="378">
        <f t="shared" si="72"/>
        <v>0</v>
      </c>
      <c r="BV258" s="378">
        <f t="shared" ref="BV258:CK258" si="73">BV48+BV52+BV54</f>
        <v>0</v>
      </c>
      <c r="BW258" s="378">
        <f t="shared" si="73"/>
        <v>0</v>
      </c>
      <c r="BX258" s="378">
        <f t="shared" si="73"/>
        <v>7805</v>
      </c>
      <c r="BY258" s="378">
        <f t="shared" si="73"/>
        <v>2227.7799999999997</v>
      </c>
      <c r="BZ258" s="378">
        <f t="shared" si="73"/>
        <v>2227.7799999999997</v>
      </c>
      <c r="CA258" s="378">
        <f t="shared" si="73"/>
        <v>8590</v>
      </c>
      <c r="CB258" s="378">
        <f t="shared" si="73"/>
        <v>5657</v>
      </c>
      <c r="CC258" s="378">
        <f t="shared" si="73"/>
        <v>0</v>
      </c>
      <c r="CD258" s="378">
        <f t="shared" si="73"/>
        <v>0</v>
      </c>
      <c r="CE258" s="378">
        <f t="shared" si="73"/>
        <v>3</v>
      </c>
      <c r="CF258" s="378">
        <f t="shared" si="73"/>
        <v>7669</v>
      </c>
      <c r="CG258" s="378">
        <f t="shared" si="73"/>
        <v>3</v>
      </c>
      <c r="CH258" s="378">
        <f t="shared" si="73"/>
        <v>7669</v>
      </c>
      <c r="CI258" s="469">
        <f t="shared" si="73"/>
        <v>163</v>
      </c>
      <c r="CJ258" s="470">
        <f t="shared" si="73"/>
        <v>3</v>
      </c>
      <c r="CK258" s="470">
        <f t="shared" si="73"/>
        <v>7660.52</v>
      </c>
      <c r="CL258" s="471"/>
      <c r="CM258" s="470">
        <f t="shared" ref="CM258:CN258" si="74">CM48+CM52+CM54</f>
        <v>3</v>
      </c>
      <c r="CN258" s="470">
        <f t="shared" si="74"/>
        <v>8230.9500000000007</v>
      </c>
      <c r="CO258" s="471"/>
      <c r="CP258" s="378">
        <f t="shared" ref="CP258:DQ258" si="75">CP48+CP52+CP54</f>
        <v>3</v>
      </c>
      <c r="CQ258" s="378">
        <f t="shared" si="75"/>
        <v>0</v>
      </c>
      <c r="CR258" s="378">
        <f t="shared" si="75"/>
        <v>0</v>
      </c>
      <c r="CS258" s="378">
        <f t="shared" si="75"/>
        <v>0</v>
      </c>
      <c r="CT258" s="378">
        <f t="shared" si="75"/>
        <v>4</v>
      </c>
      <c r="CU258" s="378">
        <f t="shared" si="75"/>
        <v>0</v>
      </c>
      <c r="CV258" s="378">
        <f t="shared" si="75"/>
        <v>0</v>
      </c>
      <c r="CW258" s="378">
        <f t="shared" si="75"/>
        <v>2</v>
      </c>
      <c r="CX258" s="378">
        <f t="shared" si="75"/>
        <v>0</v>
      </c>
      <c r="CY258" s="378">
        <f t="shared" si="75"/>
        <v>379</v>
      </c>
      <c r="CZ258" s="378">
        <f t="shared" si="75"/>
        <v>118</v>
      </c>
      <c r="DA258" s="378">
        <f t="shared" si="75"/>
        <v>226</v>
      </c>
      <c r="DB258" s="378">
        <f t="shared" si="75"/>
        <v>36</v>
      </c>
      <c r="DC258" s="378">
        <f t="shared" si="75"/>
        <v>6</v>
      </c>
      <c r="DD258" s="378">
        <f t="shared" si="75"/>
        <v>118</v>
      </c>
      <c r="DE258" s="378">
        <f t="shared" si="75"/>
        <v>6</v>
      </c>
      <c r="DF258" s="378">
        <f t="shared" si="75"/>
        <v>6</v>
      </c>
      <c r="DG258" s="378">
        <f t="shared" si="75"/>
        <v>118</v>
      </c>
      <c r="DH258" s="378">
        <f t="shared" si="75"/>
        <v>6</v>
      </c>
      <c r="DI258" s="378">
        <f t="shared" si="75"/>
        <v>123</v>
      </c>
      <c r="DJ258" s="378">
        <f t="shared" si="75"/>
        <v>3</v>
      </c>
      <c r="DK258" s="378">
        <f t="shared" si="75"/>
        <v>226</v>
      </c>
      <c r="DL258" s="378">
        <f t="shared" si="75"/>
        <v>3</v>
      </c>
      <c r="DM258" s="378">
        <f t="shared" si="75"/>
        <v>3</v>
      </c>
      <c r="DN258" s="378">
        <f t="shared" si="75"/>
        <v>226</v>
      </c>
      <c r="DO258" s="378">
        <f t="shared" si="75"/>
        <v>3</v>
      </c>
      <c r="DP258" s="378">
        <f t="shared" si="75"/>
        <v>379</v>
      </c>
      <c r="DQ258" s="378">
        <f t="shared" si="75"/>
        <v>344</v>
      </c>
    </row>
    <row r="259" spans="2:122" hidden="1">
      <c r="C259" s="453" t="s">
        <v>174</v>
      </c>
      <c r="D259" s="472"/>
      <c r="E259" s="472"/>
      <c r="F259" s="473"/>
      <c r="G259" s="474"/>
      <c r="H259" s="475">
        <v>5</v>
      </c>
      <c r="I259" s="466"/>
      <c r="R259" s="298"/>
      <c r="S259" s="298"/>
      <c r="AD259" s="298"/>
      <c r="AS259" s="298"/>
      <c r="CI259" s="303"/>
      <c r="CJ259" s="476"/>
      <c r="CK259" s="476"/>
      <c r="CL259" s="471"/>
      <c r="CM259" s="471"/>
      <c r="CN259" s="471"/>
      <c r="CO259" s="471"/>
    </row>
    <row r="260" spans="2:122" hidden="1">
      <c r="E260" s="465"/>
      <c r="F260" s="465"/>
      <c r="H260" s="466"/>
      <c r="I260" s="466"/>
      <c r="R260" s="477"/>
      <c r="S260" s="477"/>
      <c r="U260" s="478"/>
      <c r="V260" s="478"/>
      <c r="AD260" s="477"/>
    </row>
    <row r="261" spans="2:122" hidden="1">
      <c r="E261" s="465"/>
      <c r="F261" s="465"/>
      <c r="H261" s="466"/>
      <c r="I261" s="466"/>
      <c r="Q261" s="476" t="s">
        <v>190</v>
      </c>
      <c r="R261" s="468">
        <f>R252+R253+R254+R255+R257</f>
        <v>198837.1</v>
      </c>
      <c r="S261" s="477"/>
      <c r="U261" s="478"/>
      <c r="V261" s="478"/>
      <c r="AB261" s="476" t="s">
        <v>190</v>
      </c>
      <c r="AC261" s="468">
        <f>AC252+AC253+AC254+AC255+AC257</f>
        <v>3639.32</v>
      </c>
      <c r="AD261" s="477"/>
      <c r="AH261" s="476" t="s">
        <v>190</v>
      </c>
      <c r="AI261" s="468">
        <f>AI252+AI253+AI254+AI255+AI257</f>
        <v>202476.41999999998</v>
      </c>
    </row>
    <row r="262" spans="2:122" hidden="1">
      <c r="E262" s="465"/>
      <c r="F262" s="465"/>
      <c r="H262" s="466"/>
      <c r="I262" s="466"/>
      <c r="Q262" s="476" t="s">
        <v>191</v>
      </c>
      <c r="R262" s="468">
        <f>R261-R46</f>
        <v>192033.03</v>
      </c>
      <c r="S262" s="477"/>
      <c r="U262" s="478"/>
      <c r="V262" s="478"/>
      <c r="AB262" s="476" t="s">
        <v>191</v>
      </c>
      <c r="AC262" s="468">
        <f>AC261-AC46</f>
        <v>3601.3700000000003</v>
      </c>
      <c r="AD262" s="477"/>
      <c r="AH262" s="476" t="s">
        <v>191</v>
      </c>
      <c r="AI262" s="468">
        <f>AI261-AI46</f>
        <v>195634.4</v>
      </c>
    </row>
    <row r="263" spans="2:122" hidden="1">
      <c r="E263" s="465"/>
      <c r="F263" s="465"/>
      <c r="H263" s="466"/>
      <c r="I263" s="466"/>
      <c r="R263" s="298"/>
      <c r="S263" s="477"/>
      <c r="U263" s="478"/>
      <c r="V263" s="478"/>
      <c r="AD263" s="477"/>
    </row>
    <row r="264" spans="2:122" hidden="1">
      <c r="E264" s="465"/>
      <c r="F264" s="465"/>
      <c r="H264" s="466"/>
      <c r="I264" s="466"/>
      <c r="Q264" s="476" t="s">
        <v>189</v>
      </c>
      <c r="R264" s="468">
        <f>R250-R46</f>
        <v>325861.70999999996</v>
      </c>
      <c r="S264" s="477"/>
      <c r="U264" s="478"/>
      <c r="V264" s="478"/>
      <c r="AB264" s="476" t="s">
        <v>189</v>
      </c>
      <c r="AC264" s="468">
        <f>AC250-AC46</f>
        <v>37608.629999999997</v>
      </c>
      <c r="AD264" s="477"/>
      <c r="AH264" s="476" t="s">
        <v>189</v>
      </c>
      <c r="AI264" s="468">
        <f>AI250-AI46</f>
        <v>363470.34</v>
      </c>
      <c r="BK264" s="479"/>
    </row>
    <row r="265" spans="2:122" hidden="1">
      <c r="E265" s="465"/>
      <c r="F265" s="465"/>
      <c r="H265" s="466"/>
      <c r="I265" s="466"/>
      <c r="R265" s="298"/>
      <c r="S265" s="477"/>
      <c r="U265" s="478"/>
      <c r="V265" s="478"/>
      <c r="AD265" s="477"/>
    </row>
    <row r="266" spans="2:122" hidden="1">
      <c r="E266" s="465"/>
      <c r="F266" s="465"/>
      <c r="H266" s="466"/>
      <c r="I266" s="466"/>
      <c r="R266" s="477"/>
      <c r="S266" s="477"/>
      <c r="U266" s="478"/>
      <c r="V266" s="478"/>
      <c r="AD266" s="477"/>
    </row>
    <row r="267" spans="2:122">
      <c r="E267" s="465"/>
      <c r="F267" s="465"/>
      <c r="H267" s="466"/>
      <c r="I267" s="466"/>
      <c r="R267" s="477"/>
      <c r="S267" s="477"/>
      <c r="U267" s="478"/>
      <c r="V267" s="478"/>
      <c r="AD267" s="477"/>
    </row>
    <row r="268" spans="2:122">
      <c r="E268" s="465"/>
      <c r="F268" s="465"/>
      <c r="H268" s="466"/>
      <c r="I268" s="466"/>
      <c r="R268" s="477"/>
      <c r="S268" s="477"/>
      <c r="U268" s="478"/>
      <c r="V268" s="478"/>
      <c r="AD268" s="477"/>
    </row>
    <row r="269" spans="2:122">
      <c r="E269" s="465"/>
      <c r="F269" s="465"/>
      <c r="H269" s="466"/>
      <c r="I269" s="466"/>
      <c r="R269" s="477"/>
      <c r="S269" s="477"/>
      <c r="U269" s="478"/>
      <c r="V269" s="478"/>
      <c r="AD269" s="477"/>
    </row>
    <row r="270" spans="2:122">
      <c r="E270" s="465"/>
      <c r="F270" s="465"/>
      <c r="H270" s="466"/>
      <c r="I270" s="466"/>
      <c r="R270" s="477"/>
      <c r="S270" s="477"/>
      <c r="U270" s="478"/>
      <c r="V270" s="478"/>
      <c r="AD270" s="477"/>
    </row>
    <row r="271" spans="2:122">
      <c r="E271" s="465"/>
      <c r="F271" s="465"/>
      <c r="H271" s="466"/>
      <c r="I271" s="466"/>
      <c r="R271" s="477"/>
      <c r="S271" s="477"/>
      <c r="U271" s="478"/>
      <c r="V271" s="478"/>
      <c r="AD271" s="477"/>
    </row>
    <row r="272" spans="2:122">
      <c r="E272" s="465"/>
      <c r="F272" s="465"/>
      <c r="H272" s="466"/>
      <c r="I272" s="466"/>
      <c r="R272" s="477"/>
      <c r="S272" s="477"/>
      <c r="U272" s="478"/>
      <c r="V272" s="478"/>
      <c r="AD272" s="477"/>
    </row>
    <row r="273" spans="5:30">
      <c r="E273" s="465"/>
      <c r="F273" s="465"/>
      <c r="H273" s="466"/>
      <c r="I273" s="466"/>
      <c r="R273" s="477"/>
      <c r="S273" s="477"/>
      <c r="U273" s="478"/>
      <c r="V273" s="478"/>
      <c r="AD273" s="477"/>
    </row>
    <row r="274" spans="5:30">
      <c r="E274" s="465"/>
      <c r="F274" s="465"/>
      <c r="H274" s="466"/>
      <c r="I274" s="466"/>
      <c r="R274" s="477"/>
      <c r="S274" s="477"/>
      <c r="U274" s="478"/>
      <c r="V274" s="478"/>
      <c r="AD274" s="477"/>
    </row>
    <row r="275" spans="5:30">
      <c r="E275" s="465"/>
      <c r="F275" s="465"/>
      <c r="H275" s="466"/>
      <c r="I275" s="466"/>
      <c r="R275" s="477"/>
      <c r="S275" s="477"/>
      <c r="U275" s="478"/>
      <c r="V275" s="478"/>
      <c r="AD275" s="477"/>
    </row>
    <row r="276" spans="5:30">
      <c r="E276" s="465"/>
      <c r="F276" s="465"/>
      <c r="H276" s="466"/>
      <c r="I276" s="466"/>
      <c r="R276" s="477"/>
      <c r="S276" s="477"/>
      <c r="U276" s="478"/>
      <c r="V276" s="478"/>
      <c r="AD276" s="477"/>
    </row>
    <row r="277" spans="5:30">
      <c r="E277" s="465"/>
      <c r="F277" s="465"/>
      <c r="H277" s="466"/>
      <c r="I277" s="466"/>
      <c r="R277" s="477"/>
      <c r="S277" s="477"/>
      <c r="U277" s="478"/>
      <c r="V277" s="478"/>
      <c r="AD277" s="477"/>
    </row>
    <row r="278" spans="5:30">
      <c r="E278" s="465"/>
      <c r="F278" s="465"/>
      <c r="H278" s="466"/>
      <c r="I278" s="466"/>
      <c r="R278" s="477"/>
      <c r="S278" s="477"/>
      <c r="U278" s="478"/>
      <c r="V278" s="478"/>
      <c r="AD278" s="477"/>
    </row>
    <row r="279" spans="5:30">
      <c r="E279" s="465"/>
      <c r="F279" s="465"/>
      <c r="H279" s="466"/>
      <c r="I279" s="466"/>
      <c r="R279" s="477"/>
      <c r="S279" s="477"/>
      <c r="U279" s="478"/>
      <c r="V279" s="478"/>
      <c r="AD279" s="477"/>
    </row>
    <row r="280" spans="5:30">
      <c r="E280" s="465"/>
      <c r="F280" s="465"/>
      <c r="H280" s="466"/>
      <c r="I280" s="466"/>
      <c r="R280" s="477"/>
      <c r="S280" s="477"/>
      <c r="U280" s="478"/>
      <c r="V280" s="478"/>
      <c r="AD280" s="477"/>
    </row>
    <row r="281" spans="5:30">
      <c r="E281" s="465"/>
      <c r="F281" s="465"/>
      <c r="H281" s="466"/>
      <c r="I281" s="466"/>
      <c r="R281" s="477"/>
      <c r="S281" s="477"/>
      <c r="U281" s="478"/>
      <c r="V281" s="478"/>
      <c r="AD281" s="477"/>
    </row>
    <row r="282" spans="5:30">
      <c r="E282" s="465"/>
      <c r="F282" s="465"/>
      <c r="H282" s="466"/>
      <c r="I282" s="466"/>
      <c r="R282" s="477"/>
      <c r="S282" s="477"/>
      <c r="U282" s="478"/>
      <c r="V282" s="478"/>
      <c r="AD282" s="477"/>
    </row>
    <row r="283" spans="5:30">
      <c r="E283" s="465"/>
      <c r="F283" s="465"/>
      <c r="H283" s="466"/>
      <c r="I283" s="466"/>
      <c r="R283" s="477"/>
      <c r="S283" s="477"/>
      <c r="U283" s="478"/>
      <c r="V283" s="478"/>
      <c r="AD283" s="477"/>
    </row>
    <row r="284" spans="5:30">
      <c r="E284" s="465"/>
      <c r="F284" s="465"/>
      <c r="H284" s="466"/>
      <c r="I284" s="466"/>
      <c r="R284" s="477"/>
      <c r="S284" s="477"/>
      <c r="U284" s="478"/>
      <c r="V284" s="478"/>
      <c r="AD284" s="477"/>
    </row>
    <row r="285" spans="5:30">
      <c r="E285" s="465"/>
      <c r="F285" s="465"/>
      <c r="H285" s="466"/>
      <c r="I285" s="466"/>
      <c r="U285" s="478"/>
      <c r="V285" s="478"/>
    </row>
    <row r="286" spans="5:30">
      <c r="E286" s="465"/>
      <c r="F286" s="465"/>
      <c r="H286" s="466"/>
      <c r="I286" s="466"/>
      <c r="R286" s="477"/>
      <c r="S286" s="477"/>
      <c r="U286" s="478"/>
      <c r="V286" s="478"/>
      <c r="AD286" s="477"/>
    </row>
    <row r="287" spans="5:30">
      <c r="E287" s="465"/>
      <c r="F287" s="465"/>
      <c r="H287" s="466"/>
      <c r="I287" s="466"/>
      <c r="R287" s="477"/>
      <c r="S287" s="477"/>
      <c r="U287" s="478"/>
      <c r="V287" s="478"/>
      <c r="AD287" s="477"/>
    </row>
    <row r="288" spans="5:30">
      <c r="E288" s="465"/>
      <c r="F288" s="465"/>
      <c r="H288" s="466"/>
      <c r="I288" s="466"/>
      <c r="R288" s="477"/>
      <c r="S288" s="477"/>
      <c r="U288" s="478"/>
      <c r="V288" s="478"/>
      <c r="AD288" s="477"/>
    </row>
    <row r="289" spans="5:30">
      <c r="E289" s="465"/>
      <c r="F289" s="465"/>
      <c r="H289" s="466"/>
      <c r="I289" s="466"/>
      <c r="R289" s="477"/>
      <c r="S289" s="477"/>
      <c r="U289" s="478"/>
      <c r="V289" s="478"/>
      <c r="AD289" s="477"/>
    </row>
    <row r="290" spans="5:30">
      <c r="E290" s="465"/>
      <c r="F290" s="465"/>
      <c r="H290" s="466"/>
      <c r="I290" s="466"/>
      <c r="R290" s="477"/>
      <c r="S290" s="477"/>
      <c r="U290" s="478"/>
      <c r="V290" s="478"/>
      <c r="AD290" s="477"/>
    </row>
    <row r="291" spans="5:30">
      <c r="E291" s="465"/>
      <c r="F291" s="465"/>
      <c r="H291" s="466"/>
      <c r="I291" s="466"/>
      <c r="R291" s="477"/>
      <c r="S291" s="477"/>
      <c r="U291" s="478"/>
      <c r="V291" s="478"/>
      <c r="AD291" s="477"/>
    </row>
    <row r="292" spans="5:30">
      <c r="E292" s="465"/>
      <c r="F292" s="465"/>
      <c r="H292" s="466"/>
      <c r="I292" s="466"/>
      <c r="R292" s="477"/>
      <c r="S292" s="477"/>
      <c r="U292" s="478"/>
      <c r="V292" s="478"/>
      <c r="AD292" s="477"/>
    </row>
    <row r="293" spans="5:30">
      <c r="E293" s="465"/>
      <c r="F293" s="465"/>
      <c r="H293" s="466"/>
      <c r="I293" s="466"/>
      <c r="R293" s="477"/>
      <c r="S293" s="477"/>
      <c r="U293" s="478"/>
      <c r="V293" s="478"/>
      <c r="AD293" s="477"/>
    </row>
    <row r="294" spans="5:30">
      <c r="E294" s="465"/>
      <c r="F294" s="465"/>
      <c r="H294" s="466"/>
      <c r="I294" s="466"/>
      <c r="R294" s="477"/>
      <c r="S294" s="477"/>
      <c r="U294" s="478"/>
      <c r="V294" s="478"/>
      <c r="AD294" s="477"/>
    </row>
    <row r="295" spans="5:30">
      <c r="E295" s="465"/>
      <c r="F295" s="465"/>
      <c r="H295" s="466"/>
      <c r="I295" s="466"/>
      <c r="R295" s="477"/>
      <c r="S295" s="477"/>
      <c r="U295" s="478"/>
      <c r="V295" s="478"/>
      <c r="AD295" s="477"/>
    </row>
    <row r="296" spans="5:30">
      <c r="E296" s="465"/>
      <c r="F296" s="465"/>
      <c r="H296" s="466"/>
      <c r="I296" s="466"/>
      <c r="R296" s="477"/>
      <c r="S296" s="477"/>
      <c r="U296" s="478"/>
      <c r="V296" s="478"/>
      <c r="AD296" s="477"/>
    </row>
    <row r="297" spans="5:30">
      <c r="E297" s="465"/>
      <c r="F297" s="465"/>
      <c r="H297" s="466"/>
      <c r="I297" s="466"/>
      <c r="R297" s="477"/>
      <c r="S297" s="477"/>
      <c r="U297" s="478"/>
      <c r="V297" s="478"/>
      <c r="AD297" s="477"/>
    </row>
    <row r="298" spans="5:30">
      <c r="E298" s="465"/>
      <c r="F298" s="465"/>
      <c r="H298" s="466"/>
      <c r="I298" s="466"/>
      <c r="R298" s="477"/>
      <c r="S298" s="477"/>
      <c r="U298" s="478"/>
      <c r="V298" s="478"/>
      <c r="AD298" s="477"/>
    </row>
    <row r="299" spans="5:30">
      <c r="E299" s="465"/>
      <c r="F299" s="465"/>
      <c r="H299" s="466"/>
      <c r="I299" s="466"/>
      <c r="R299" s="477"/>
      <c r="S299" s="477"/>
      <c r="U299" s="478"/>
      <c r="V299" s="478"/>
      <c r="AD299" s="477"/>
    </row>
    <row r="300" spans="5:30">
      <c r="E300" s="465"/>
      <c r="F300" s="465"/>
      <c r="H300" s="466"/>
      <c r="I300" s="466"/>
      <c r="R300" s="477"/>
      <c r="S300" s="477"/>
      <c r="U300" s="478"/>
      <c r="V300" s="478"/>
      <c r="AD300" s="477"/>
    </row>
    <row r="301" spans="5:30">
      <c r="E301" s="465"/>
      <c r="F301" s="465"/>
      <c r="H301" s="466"/>
      <c r="I301" s="466"/>
      <c r="R301" s="477"/>
      <c r="S301" s="477"/>
      <c r="U301" s="478"/>
      <c r="V301" s="478"/>
      <c r="AD301" s="477"/>
    </row>
    <row r="302" spans="5:30">
      <c r="E302" s="465"/>
      <c r="F302" s="465"/>
      <c r="H302" s="466"/>
      <c r="I302" s="466"/>
      <c r="R302" s="477"/>
      <c r="S302" s="477"/>
      <c r="U302" s="478"/>
      <c r="V302" s="478"/>
      <c r="AD302" s="477"/>
    </row>
    <row r="303" spans="5:30">
      <c r="E303" s="465"/>
      <c r="F303" s="465"/>
      <c r="H303" s="466"/>
      <c r="I303" s="466"/>
      <c r="R303" s="477"/>
      <c r="S303" s="477"/>
      <c r="U303" s="478"/>
      <c r="V303" s="478"/>
      <c r="AD303" s="477"/>
    </row>
    <row r="304" spans="5:30">
      <c r="E304" s="465"/>
      <c r="F304" s="465"/>
      <c r="H304" s="466"/>
      <c r="I304" s="466"/>
      <c r="R304" s="477"/>
      <c r="S304" s="477"/>
      <c r="U304" s="478"/>
      <c r="V304" s="478"/>
      <c r="AD304" s="477"/>
    </row>
    <row r="305" spans="5:30">
      <c r="E305" s="465"/>
      <c r="F305" s="465"/>
      <c r="H305" s="466"/>
      <c r="I305" s="466"/>
      <c r="R305" s="477"/>
      <c r="S305" s="477"/>
      <c r="U305" s="478"/>
      <c r="V305" s="478"/>
      <c r="AD305" s="477"/>
    </row>
    <row r="306" spans="5:30">
      <c r="E306" s="465"/>
      <c r="F306" s="465"/>
      <c r="H306" s="466"/>
      <c r="I306" s="466"/>
      <c r="R306" s="477"/>
      <c r="S306" s="477"/>
      <c r="U306" s="478"/>
      <c r="V306" s="478"/>
      <c r="AD306" s="477"/>
    </row>
    <row r="307" spans="5:30">
      <c r="E307" s="465"/>
      <c r="F307" s="465"/>
      <c r="H307" s="466"/>
      <c r="I307" s="466"/>
      <c r="R307" s="477"/>
      <c r="S307" s="477"/>
      <c r="U307" s="478"/>
      <c r="V307" s="478"/>
      <c r="AD307" s="477"/>
    </row>
    <row r="308" spans="5:30">
      <c r="E308" s="465"/>
      <c r="F308" s="465"/>
      <c r="H308" s="466"/>
      <c r="I308" s="466"/>
      <c r="R308" s="477"/>
      <c r="S308" s="477"/>
      <c r="U308" s="478"/>
      <c r="V308" s="478"/>
      <c r="AD308" s="477"/>
    </row>
    <row r="309" spans="5:30">
      <c r="E309" s="465"/>
      <c r="F309" s="465"/>
      <c r="H309" s="466"/>
      <c r="I309" s="466"/>
      <c r="R309" s="477"/>
      <c r="S309" s="477"/>
      <c r="U309" s="478"/>
      <c r="V309" s="478"/>
      <c r="AD309" s="477"/>
    </row>
    <row r="310" spans="5:30">
      <c r="E310" s="465"/>
      <c r="F310" s="465"/>
      <c r="H310" s="466"/>
      <c r="I310" s="466"/>
      <c r="R310" s="477"/>
      <c r="S310" s="477"/>
      <c r="U310" s="478"/>
      <c r="V310" s="478"/>
      <c r="AD310" s="477"/>
    </row>
    <row r="311" spans="5:30">
      <c r="E311" s="465"/>
      <c r="F311" s="465"/>
      <c r="H311" s="466"/>
      <c r="I311" s="466"/>
      <c r="R311" s="477"/>
      <c r="S311" s="477"/>
      <c r="U311" s="478"/>
      <c r="V311" s="478"/>
      <c r="AD311" s="477"/>
    </row>
    <row r="312" spans="5:30">
      <c r="E312" s="465"/>
      <c r="F312" s="465"/>
      <c r="H312" s="466"/>
      <c r="I312" s="466"/>
      <c r="R312" s="477"/>
      <c r="S312" s="477"/>
      <c r="U312" s="478"/>
      <c r="V312" s="478"/>
      <c r="AD312" s="477"/>
    </row>
    <row r="313" spans="5:30">
      <c r="E313" s="465"/>
      <c r="F313" s="465"/>
      <c r="H313" s="466"/>
      <c r="I313" s="466"/>
      <c r="R313" s="477"/>
      <c r="S313" s="477"/>
      <c r="U313" s="478"/>
      <c r="V313" s="478"/>
      <c r="AD313" s="477"/>
    </row>
    <row r="314" spans="5:30">
      <c r="E314" s="465"/>
      <c r="F314" s="465"/>
      <c r="H314" s="466"/>
      <c r="I314" s="466"/>
      <c r="R314" s="477"/>
      <c r="S314" s="477"/>
      <c r="U314" s="478"/>
      <c r="V314" s="478"/>
      <c r="AD314" s="477"/>
    </row>
    <row r="315" spans="5:30">
      <c r="E315" s="465"/>
      <c r="F315" s="465"/>
      <c r="H315" s="466"/>
      <c r="I315" s="466"/>
      <c r="R315" s="477"/>
      <c r="S315" s="477"/>
      <c r="U315" s="478"/>
      <c r="V315" s="478"/>
      <c r="AD315" s="477"/>
    </row>
    <row r="316" spans="5:30">
      <c r="E316" s="465"/>
      <c r="F316" s="465"/>
      <c r="H316" s="466"/>
      <c r="I316" s="466"/>
      <c r="R316" s="477"/>
      <c r="S316" s="477"/>
      <c r="U316" s="478"/>
      <c r="V316" s="478"/>
      <c r="AD316" s="477"/>
    </row>
    <row r="317" spans="5:30">
      <c r="E317" s="465"/>
      <c r="F317" s="465"/>
      <c r="H317" s="466"/>
      <c r="I317" s="466"/>
      <c r="R317" s="477"/>
      <c r="S317" s="477"/>
      <c r="U317" s="478"/>
      <c r="V317" s="478"/>
      <c r="AD317" s="477"/>
    </row>
    <row r="318" spans="5:30">
      <c r="E318" s="465"/>
      <c r="F318" s="465"/>
      <c r="H318" s="466"/>
      <c r="I318" s="466"/>
      <c r="R318" s="477"/>
      <c r="S318" s="477"/>
      <c r="U318" s="478"/>
      <c r="V318" s="478"/>
      <c r="AD318" s="477"/>
    </row>
    <row r="319" spans="5:30">
      <c r="E319" s="465"/>
      <c r="F319" s="465"/>
      <c r="H319" s="466"/>
      <c r="I319" s="466"/>
      <c r="R319" s="477"/>
      <c r="S319" s="477"/>
      <c r="U319" s="478"/>
      <c r="V319" s="478"/>
      <c r="AD319" s="477"/>
    </row>
    <row r="320" spans="5:30">
      <c r="E320" s="465"/>
      <c r="F320" s="465"/>
      <c r="H320" s="466"/>
      <c r="I320" s="466"/>
      <c r="R320" s="477"/>
      <c r="S320" s="477"/>
      <c r="U320" s="478"/>
      <c r="V320" s="478"/>
      <c r="AD320" s="477"/>
    </row>
    <row r="321" spans="5:30">
      <c r="E321" s="465"/>
      <c r="F321" s="465"/>
      <c r="H321" s="466"/>
      <c r="I321" s="466"/>
      <c r="R321" s="477"/>
      <c r="S321" s="477"/>
      <c r="U321" s="478"/>
      <c r="V321" s="478"/>
      <c r="AD321" s="477"/>
    </row>
    <row r="322" spans="5:30">
      <c r="E322" s="465"/>
      <c r="F322" s="465"/>
      <c r="H322" s="466"/>
      <c r="I322" s="466"/>
      <c r="R322" s="477"/>
      <c r="S322" s="477"/>
      <c r="U322" s="478"/>
      <c r="V322" s="478"/>
      <c r="AD322" s="477"/>
    </row>
    <row r="323" spans="5:30">
      <c r="E323" s="465"/>
      <c r="F323" s="465"/>
      <c r="H323" s="466"/>
      <c r="I323" s="466"/>
      <c r="R323" s="477"/>
      <c r="S323" s="477"/>
      <c r="U323" s="478"/>
      <c r="V323" s="478"/>
      <c r="AD323" s="477"/>
    </row>
    <row r="324" spans="5:30">
      <c r="E324" s="465"/>
      <c r="F324" s="465"/>
      <c r="H324" s="466"/>
      <c r="I324" s="466"/>
      <c r="R324" s="477"/>
      <c r="S324" s="477"/>
      <c r="U324" s="478"/>
      <c r="V324" s="478"/>
      <c r="AD324" s="477"/>
    </row>
    <row r="325" spans="5:30">
      <c r="E325" s="465"/>
      <c r="F325" s="465"/>
      <c r="H325" s="466"/>
      <c r="I325" s="466"/>
      <c r="R325" s="477"/>
      <c r="S325" s="477"/>
      <c r="U325" s="478"/>
      <c r="V325" s="478"/>
      <c r="AD325" s="477"/>
    </row>
    <row r="326" spans="5:30">
      <c r="E326" s="465"/>
      <c r="F326" s="465"/>
      <c r="H326" s="466"/>
      <c r="I326" s="466"/>
      <c r="R326" s="477"/>
      <c r="S326" s="477"/>
      <c r="U326" s="478"/>
      <c r="V326" s="478"/>
      <c r="AD326" s="477"/>
    </row>
    <row r="327" spans="5:30">
      <c r="E327" s="465"/>
      <c r="F327" s="465"/>
      <c r="H327" s="466"/>
      <c r="I327" s="466"/>
      <c r="R327" s="477"/>
      <c r="S327" s="477"/>
      <c r="U327" s="478"/>
      <c r="V327" s="478"/>
      <c r="AD327" s="477"/>
    </row>
    <row r="328" spans="5:30">
      <c r="E328" s="465"/>
      <c r="F328" s="465"/>
      <c r="H328" s="466"/>
      <c r="I328" s="466"/>
      <c r="R328" s="477"/>
      <c r="S328" s="477"/>
      <c r="U328" s="478"/>
      <c r="V328" s="478"/>
      <c r="AD328" s="477"/>
    </row>
    <row r="329" spans="5:30">
      <c r="E329" s="465"/>
      <c r="F329" s="465"/>
      <c r="H329" s="466"/>
      <c r="I329" s="466"/>
      <c r="R329" s="477"/>
      <c r="S329" s="477"/>
      <c r="U329" s="478"/>
      <c r="V329" s="478"/>
      <c r="AD329" s="477"/>
    </row>
    <row r="330" spans="5:30">
      <c r="E330" s="465"/>
      <c r="F330" s="465"/>
      <c r="H330" s="466"/>
      <c r="I330" s="466"/>
      <c r="R330" s="477"/>
      <c r="S330" s="477"/>
      <c r="U330" s="478"/>
      <c r="V330" s="478"/>
      <c r="AD330" s="477"/>
    </row>
    <row r="331" spans="5:30">
      <c r="E331" s="465"/>
      <c r="F331" s="465"/>
      <c r="H331" s="466"/>
      <c r="I331" s="466"/>
      <c r="R331" s="477"/>
      <c r="S331" s="477"/>
      <c r="U331" s="478"/>
      <c r="V331" s="478"/>
      <c r="AD331" s="477"/>
    </row>
    <row r="332" spans="5:30">
      <c r="E332" s="465"/>
      <c r="F332" s="465"/>
      <c r="H332" s="466"/>
      <c r="I332" s="466"/>
      <c r="R332" s="477"/>
      <c r="S332" s="477"/>
      <c r="U332" s="478"/>
      <c r="V332" s="478"/>
      <c r="AD332" s="477"/>
    </row>
    <row r="333" spans="5:30">
      <c r="E333" s="465"/>
      <c r="F333" s="465"/>
      <c r="H333" s="466"/>
      <c r="I333" s="466"/>
      <c r="R333" s="477"/>
      <c r="S333" s="477"/>
      <c r="U333" s="478"/>
      <c r="V333" s="478"/>
      <c r="AD333" s="477"/>
    </row>
    <row r="334" spans="5:30">
      <c r="E334" s="465"/>
      <c r="F334" s="465"/>
      <c r="H334" s="466"/>
      <c r="I334" s="466"/>
      <c r="R334" s="477"/>
      <c r="S334" s="477"/>
      <c r="U334" s="478"/>
      <c r="V334" s="478"/>
      <c r="AD334" s="477"/>
    </row>
    <row r="335" spans="5:30">
      <c r="E335" s="465"/>
      <c r="F335" s="465"/>
      <c r="H335" s="466"/>
      <c r="I335" s="466"/>
      <c r="R335" s="477"/>
      <c r="S335" s="477"/>
      <c r="U335" s="478"/>
      <c r="V335" s="478"/>
      <c r="AD335" s="477"/>
    </row>
    <row r="336" spans="5:30">
      <c r="E336" s="465"/>
      <c r="F336" s="465"/>
      <c r="H336" s="466"/>
      <c r="I336" s="466"/>
      <c r="R336" s="477"/>
      <c r="S336" s="477"/>
      <c r="U336" s="478"/>
      <c r="V336" s="478"/>
      <c r="AD336" s="477"/>
    </row>
    <row r="337" spans="5:40">
      <c r="E337" s="465"/>
      <c r="F337" s="465"/>
      <c r="H337" s="466"/>
      <c r="I337" s="466"/>
      <c r="R337" s="477"/>
      <c r="S337" s="477"/>
      <c r="U337" s="478"/>
      <c r="V337" s="478"/>
      <c r="AD337" s="477"/>
    </row>
    <row r="338" spans="5:40">
      <c r="E338" s="465"/>
      <c r="F338" s="465"/>
      <c r="H338" s="466"/>
      <c r="I338" s="466"/>
      <c r="R338" s="477"/>
      <c r="S338" s="477"/>
      <c r="U338" s="478"/>
      <c r="V338" s="478"/>
      <c r="AD338" s="477"/>
    </row>
    <row r="339" spans="5:40">
      <c r="E339" s="465"/>
      <c r="F339" s="465"/>
      <c r="G339" s="477"/>
      <c r="H339" s="466"/>
      <c r="I339" s="466"/>
      <c r="J339" s="477"/>
      <c r="K339" s="477"/>
      <c r="N339" s="477"/>
      <c r="O339" s="477"/>
      <c r="P339" s="477"/>
      <c r="Q339" s="477"/>
      <c r="R339" s="477"/>
      <c r="S339" s="477"/>
      <c r="T339" s="477"/>
      <c r="U339" s="477"/>
      <c r="V339" s="477"/>
      <c r="AD339" s="477"/>
      <c r="AE339" s="477"/>
      <c r="AF339" s="477"/>
      <c r="AG339" s="477"/>
      <c r="AH339" s="477"/>
      <c r="AJ339" s="477"/>
      <c r="AK339" s="477"/>
      <c r="AL339" s="477"/>
      <c r="AM339" s="477"/>
      <c r="AN339" s="477"/>
    </row>
    <row r="340" spans="5:40">
      <c r="E340" s="465"/>
      <c r="F340" s="465"/>
      <c r="H340" s="466"/>
      <c r="I340" s="466"/>
      <c r="R340" s="477"/>
      <c r="S340" s="477"/>
      <c r="U340" s="478"/>
      <c r="V340" s="478"/>
      <c r="AD340" s="477"/>
    </row>
    <row r="341" spans="5:40">
      <c r="E341" s="465"/>
      <c r="F341" s="465"/>
      <c r="H341" s="466"/>
      <c r="I341" s="466"/>
      <c r="R341" s="477"/>
      <c r="S341" s="477"/>
      <c r="U341" s="478"/>
      <c r="V341" s="478"/>
      <c r="AD341" s="477"/>
    </row>
    <row r="342" spans="5:40">
      <c r="E342" s="465"/>
      <c r="F342" s="465"/>
      <c r="H342" s="466"/>
      <c r="I342" s="466"/>
      <c r="R342" s="477"/>
      <c r="S342" s="477"/>
      <c r="U342" s="478"/>
      <c r="V342" s="478"/>
      <c r="AD342" s="477"/>
    </row>
    <row r="343" spans="5:40">
      <c r="E343" s="465"/>
      <c r="F343" s="465"/>
      <c r="H343" s="466"/>
      <c r="I343" s="466"/>
      <c r="R343" s="477"/>
      <c r="S343" s="477"/>
      <c r="U343" s="478"/>
      <c r="V343" s="478"/>
      <c r="AD343" s="477"/>
    </row>
    <row r="344" spans="5:40">
      <c r="E344" s="465"/>
      <c r="F344" s="465"/>
      <c r="H344" s="466"/>
      <c r="I344" s="466"/>
      <c r="R344" s="477"/>
      <c r="S344" s="477"/>
      <c r="U344" s="478"/>
      <c r="V344" s="478"/>
      <c r="AD344" s="477"/>
    </row>
    <row r="345" spans="5:40">
      <c r="E345" s="465"/>
      <c r="F345" s="465"/>
      <c r="H345" s="466"/>
      <c r="I345" s="466"/>
      <c r="R345" s="477"/>
      <c r="S345" s="477"/>
      <c r="U345" s="478"/>
      <c r="V345" s="478"/>
      <c r="AD345" s="477"/>
    </row>
    <row r="346" spans="5:40">
      <c r="E346" s="465"/>
      <c r="F346" s="465"/>
      <c r="H346" s="466"/>
      <c r="I346" s="466"/>
      <c r="R346" s="477"/>
      <c r="S346" s="477"/>
      <c r="U346" s="478"/>
      <c r="V346" s="478"/>
      <c r="AD346" s="477"/>
    </row>
    <row r="347" spans="5:40">
      <c r="E347" s="465"/>
      <c r="F347" s="465"/>
      <c r="H347" s="466"/>
      <c r="I347" s="466"/>
      <c r="R347" s="477"/>
      <c r="S347" s="477"/>
      <c r="U347" s="478"/>
      <c r="V347" s="478"/>
      <c r="AD347" s="477"/>
    </row>
    <row r="348" spans="5:40">
      <c r="E348" s="465"/>
      <c r="F348" s="465"/>
      <c r="H348" s="466"/>
      <c r="I348" s="466"/>
      <c r="R348" s="477"/>
      <c r="S348" s="477"/>
      <c r="U348" s="478"/>
      <c r="V348" s="478"/>
      <c r="AD348" s="477"/>
    </row>
    <row r="349" spans="5:40">
      <c r="E349" s="465"/>
      <c r="F349" s="465"/>
      <c r="H349" s="466"/>
      <c r="I349" s="466"/>
      <c r="R349" s="477"/>
      <c r="S349" s="477"/>
      <c r="U349" s="478"/>
      <c r="V349" s="478"/>
      <c r="AD349" s="477"/>
    </row>
    <row r="350" spans="5:40">
      <c r="E350" s="465"/>
      <c r="F350" s="465"/>
      <c r="H350" s="466"/>
      <c r="I350" s="466"/>
      <c r="R350" s="477"/>
      <c r="S350" s="477"/>
      <c r="U350" s="478"/>
      <c r="V350" s="478"/>
      <c r="AD350" s="477"/>
    </row>
    <row r="351" spans="5:40">
      <c r="E351" s="465"/>
      <c r="F351" s="465"/>
      <c r="H351" s="466"/>
      <c r="I351" s="466"/>
      <c r="R351" s="477"/>
      <c r="S351" s="477"/>
      <c r="U351" s="478"/>
      <c r="V351" s="478"/>
      <c r="AD351" s="477"/>
    </row>
    <row r="352" spans="5:40">
      <c r="E352" s="465"/>
      <c r="F352" s="465"/>
      <c r="H352" s="466"/>
      <c r="I352" s="466"/>
      <c r="R352" s="477"/>
      <c r="S352" s="477"/>
      <c r="U352" s="478"/>
      <c r="V352" s="478"/>
      <c r="AD352" s="477"/>
    </row>
    <row r="353" spans="5:30">
      <c r="E353" s="465"/>
      <c r="F353" s="465"/>
      <c r="H353" s="466"/>
      <c r="I353" s="466"/>
      <c r="R353" s="477"/>
      <c r="S353" s="477"/>
      <c r="U353" s="478"/>
      <c r="V353" s="478"/>
      <c r="AD353" s="477"/>
    </row>
    <row r="354" spans="5:30">
      <c r="E354" s="465"/>
      <c r="F354" s="465"/>
      <c r="H354" s="466"/>
      <c r="I354" s="466"/>
      <c r="R354" s="477"/>
      <c r="S354" s="477"/>
      <c r="U354" s="478"/>
      <c r="V354" s="478"/>
      <c r="AD354" s="477"/>
    </row>
    <row r="355" spans="5:30">
      <c r="E355" s="465"/>
      <c r="F355" s="465"/>
      <c r="H355" s="466"/>
      <c r="I355" s="466"/>
      <c r="R355" s="477"/>
      <c r="S355" s="477"/>
      <c r="U355" s="478"/>
      <c r="V355" s="478"/>
      <c r="AD355" s="477"/>
    </row>
    <row r="356" spans="5:30">
      <c r="E356" s="465"/>
      <c r="F356" s="465"/>
      <c r="H356" s="466"/>
      <c r="I356" s="466"/>
      <c r="R356" s="477"/>
      <c r="S356" s="477"/>
      <c r="U356" s="478"/>
      <c r="V356" s="478"/>
      <c r="AD356" s="477"/>
    </row>
    <row r="357" spans="5:30">
      <c r="E357" s="465"/>
      <c r="F357" s="465"/>
      <c r="H357" s="466"/>
      <c r="I357" s="466"/>
      <c r="R357" s="477"/>
      <c r="S357" s="477"/>
      <c r="U357" s="478"/>
      <c r="V357" s="478"/>
      <c r="AD357" s="477"/>
    </row>
    <row r="358" spans="5:30">
      <c r="E358" s="465"/>
      <c r="F358" s="465"/>
      <c r="H358" s="466"/>
      <c r="I358" s="466"/>
      <c r="R358" s="477"/>
      <c r="S358" s="477"/>
      <c r="U358" s="478"/>
      <c r="V358" s="478"/>
      <c r="AD358" s="477"/>
    </row>
    <row r="359" spans="5:30">
      <c r="E359" s="465"/>
      <c r="F359" s="465"/>
      <c r="H359" s="466"/>
      <c r="I359" s="466"/>
      <c r="R359" s="477"/>
      <c r="S359" s="477"/>
      <c r="U359" s="478"/>
      <c r="V359" s="478"/>
      <c r="AD359" s="477"/>
    </row>
    <row r="360" spans="5:30">
      <c r="E360" s="465"/>
      <c r="F360" s="465"/>
      <c r="H360" s="466"/>
      <c r="I360" s="466"/>
      <c r="R360" s="477"/>
      <c r="S360" s="477"/>
      <c r="U360" s="478"/>
      <c r="V360" s="478"/>
      <c r="AD360" s="477"/>
    </row>
    <row r="361" spans="5:30">
      <c r="E361" s="465"/>
      <c r="F361" s="465"/>
      <c r="H361" s="466"/>
      <c r="I361" s="466"/>
      <c r="R361" s="477"/>
      <c r="S361" s="477"/>
      <c r="U361" s="478"/>
      <c r="V361" s="478"/>
      <c r="AD361" s="477"/>
    </row>
    <row r="362" spans="5:30">
      <c r="E362" s="465"/>
      <c r="F362" s="465"/>
      <c r="H362" s="466"/>
      <c r="I362" s="466"/>
      <c r="R362" s="477"/>
      <c r="S362" s="477"/>
      <c r="U362" s="478"/>
      <c r="V362" s="478"/>
      <c r="AD362" s="477"/>
    </row>
    <row r="363" spans="5:30">
      <c r="E363" s="465"/>
      <c r="F363" s="465"/>
      <c r="H363" s="466"/>
      <c r="I363" s="466"/>
      <c r="R363" s="477"/>
      <c r="S363" s="477"/>
      <c r="U363" s="478"/>
      <c r="V363" s="478"/>
      <c r="AD363" s="477"/>
    </row>
    <row r="364" spans="5:30">
      <c r="E364" s="465"/>
      <c r="F364" s="465"/>
      <c r="H364" s="466"/>
      <c r="I364" s="466"/>
      <c r="R364" s="477"/>
      <c r="S364" s="477"/>
      <c r="U364" s="478"/>
      <c r="V364" s="478"/>
      <c r="AD364" s="477"/>
    </row>
    <row r="365" spans="5:30">
      <c r="E365" s="465"/>
      <c r="F365" s="465"/>
      <c r="H365" s="466"/>
      <c r="I365" s="466"/>
      <c r="R365" s="477"/>
      <c r="S365" s="477"/>
      <c r="U365" s="478"/>
      <c r="V365" s="478"/>
      <c r="AD365" s="477"/>
    </row>
    <row r="366" spans="5:30">
      <c r="E366" s="465"/>
      <c r="F366" s="465"/>
      <c r="H366" s="466"/>
      <c r="I366" s="466"/>
      <c r="R366" s="477"/>
      <c r="S366" s="477"/>
      <c r="U366" s="478"/>
      <c r="V366" s="478"/>
      <c r="AD366" s="477"/>
    </row>
    <row r="367" spans="5:30">
      <c r="E367" s="465"/>
      <c r="F367" s="465"/>
      <c r="H367" s="466"/>
      <c r="I367" s="466"/>
      <c r="R367" s="477"/>
      <c r="S367" s="477"/>
      <c r="U367" s="478"/>
      <c r="V367" s="478"/>
      <c r="AD367" s="477"/>
    </row>
    <row r="368" spans="5:30">
      <c r="E368" s="465"/>
      <c r="F368" s="465"/>
      <c r="H368" s="466"/>
      <c r="I368" s="466"/>
      <c r="R368" s="477"/>
      <c r="S368" s="477"/>
      <c r="U368" s="478"/>
      <c r="V368" s="478"/>
      <c r="AD368" s="477"/>
    </row>
    <row r="369" spans="5:30">
      <c r="E369" s="465"/>
      <c r="F369" s="465"/>
      <c r="H369" s="466"/>
      <c r="I369" s="466"/>
      <c r="R369" s="477"/>
      <c r="S369" s="477"/>
      <c r="U369" s="478"/>
      <c r="V369" s="478"/>
      <c r="AD369" s="477"/>
    </row>
    <row r="370" spans="5:30">
      <c r="E370" s="465"/>
      <c r="F370" s="465"/>
      <c r="H370" s="466"/>
      <c r="I370" s="466"/>
      <c r="R370" s="477"/>
      <c r="S370" s="477"/>
      <c r="U370" s="478"/>
      <c r="V370" s="478"/>
      <c r="AD370" s="477"/>
    </row>
    <row r="371" spans="5:30">
      <c r="E371" s="465"/>
      <c r="F371" s="465"/>
      <c r="H371" s="466"/>
      <c r="I371" s="466"/>
      <c r="R371" s="477"/>
      <c r="S371" s="477"/>
      <c r="U371" s="478"/>
      <c r="V371" s="478"/>
      <c r="AD371" s="477"/>
    </row>
    <row r="372" spans="5:30">
      <c r="E372" s="465"/>
      <c r="F372" s="465"/>
      <c r="H372" s="466"/>
      <c r="I372" s="466"/>
      <c r="R372" s="477"/>
      <c r="S372" s="477"/>
      <c r="U372" s="478"/>
      <c r="V372" s="478"/>
      <c r="AD372" s="477"/>
    </row>
    <row r="373" spans="5:30">
      <c r="E373" s="465"/>
      <c r="F373" s="465"/>
      <c r="H373" s="466"/>
      <c r="I373" s="466"/>
      <c r="R373" s="477"/>
      <c r="S373" s="477"/>
      <c r="U373" s="478"/>
      <c r="V373" s="478"/>
      <c r="AD373" s="477"/>
    </row>
    <row r="374" spans="5:30">
      <c r="E374" s="465"/>
      <c r="F374" s="465"/>
      <c r="H374" s="466"/>
      <c r="I374" s="466"/>
      <c r="R374" s="477"/>
      <c r="S374" s="477"/>
      <c r="U374" s="478"/>
      <c r="V374" s="478"/>
      <c r="AD374" s="477"/>
    </row>
    <row r="375" spans="5:30">
      <c r="E375" s="465"/>
      <c r="F375" s="465"/>
      <c r="H375" s="466"/>
      <c r="I375" s="466"/>
      <c r="R375" s="477"/>
      <c r="S375" s="477"/>
      <c r="U375" s="478"/>
      <c r="V375" s="478"/>
      <c r="AD375" s="477"/>
    </row>
    <row r="376" spans="5:30">
      <c r="E376" s="465"/>
      <c r="F376" s="465"/>
      <c r="H376" s="466"/>
      <c r="I376" s="466"/>
      <c r="R376" s="477"/>
      <c r="S376" s="477"/>
      <c r="U376" s="478"/>
      <c r="V376" s="478"/>
      <c r="AD376" s="477"/>
    </row>
    <row r="377" spans="5:30">
      <c r="E377" s="465"/>
      <c r="F377" s="465"/>
      <c r="H377" s="466"/>
      <c r="I377" s="466"/>
      <c r="R377" s="477"/>
      <c r="S377" s="477"/>
      <c r="U377" s="478"/>
      <c r="V377" s="478"/>
      <c r="AD377" s="477"/>
    </row>
    <row r="378" spans="5:30">
      <c r="E378" s="465"/>
      <c r="F378" s="465"/>
      <c r="H378" s="466"/>
      <c r="I378" s="466"/>
      <c r="R378" s="477"/>
      <c r="S378" s="477"/>
      <c r="U378" s="478"/>
      <c r="V378" s="478"/>
      <c r="AD378" s="477"/>
    </row>
    <row r="379" spans="5:30">
      <c r="E379" s="465"/>
      <c r="F379" s="465"/>
      <c r="H379" s="466"/>
      <c r="I379" s="466"/>
      <c r="R379" s="477"/>
      <c r="S379" s="477"/>
      <c r="U379" s="478"/>
      <c r="V379" s="478"/>
      <c r="AD379" s="477"/>
    </row>
    <row r="380" spans="5:30">
      <c r="E380" s="465"/>
      <c r="F380" s="465"/>
      <c r="H380" s="466"/>
      <c r="I380" s="466"/>
      <c r="R380" s="477"/>
      <c r="S380" s="477"/>
      <c r="U380" s="478"/>
      <c r="V380" s="478"/>
      <c r="AD380" s="477"/>
    </row>
    <row r="381" spans="5:30">
      <c r="E381" s="465"/>
      <c r="F381" s="465"/>
      <c r="H381" s="466"/>
      <c r="I381" s="466"/>
      <c r="R381" s="477"/>
      <c r="S381" s="477"/>
      <c r="U381" s="478"/>
      <c r="V381" s="478"/>
      <c r="AD381" s="477"/>
    </row>
    <row r="382" spans="5:30">
      <c r="E382" s="465"/>
      <c r="F382" s="465"/>
      <c r="H382" s="466"/>
      <c r="I382" s="466"/>
      <c r="R382" s="477"/>
      <c r="S382" s="477"/>
      <c r="U382" s="478"/>
      <c r="V382" s="478"/>
      <c r="AD382" s="477"/>
    </row>
    <row r="383" spans="5:30">
      <c r="E383" s="465"/>
      <c r="F383" s="465"/>
      <c r="H383" s="466"/>
      <c r="I383" s="466"/>
      <c r="R383" s="477"/>
      <c r="S383" s="477"/>
      <c r="U383" s="478"/>
      <c r="V383" s="478"/>
      <c r="AD383" s="477"/>
    </row>
    <row r="384" spans="5:30">
      <c r="E384" s="465"/>
      <c r="F384" s="465"/>
      <c r="H384" s="466"/>
      <c r="I384" s="466"/>
      <c r="R384" s="477"/>
      <c r="S384" s="477"/>
      <c r="U384" s="478"/>
      <c r="V384" s="478"/>
      <c r="AD384" s="477"/>
    </row>
    <row r="385" spans="5:30">
      <c r="E385" s="465"/>
      <c r="F385" s="465"/>
      <c r="H385" s="466"/>
      <c r="I385" s="466"/>
      <c r="R385" s="477"/>
      <c r="S385" s="477"/>
      <c r="U385" s="478"/>
      <c r="V385" s="478"/>
      <c r="AD385" s="477"/>
    </row>
    <row r="386" spans="5:30">
      <c r="E386" s="465"/>
      <c r="F386" s="465"/>
      <c r="H386" s="466"/>
      <c r="I386" s="466"/>
      <c r="R386" s="477"/>
      <c r="S386" s="477"/>
      <c r="U386" s="478"/>
      <c r="V386" s="478"/>
      <c r="AD386" s="477"/>
    </row>
    <row r="387" spans="5:30">
      <c r="E387" s="465"/>
      <c r="F387" s="465"/>
      <c r="H387" s="466"/>
      <c r="I387" s="466"/>
      <c r="R387" s="477"/>
      <c r="S387" s="477"/>
      <c r="U387" s="478"/>
      <c r="V387" s="478"/>
      <c r="AD387" s="477"/>
    </row>
    <row r="388" spans="5:30">
      <c r="E388" s="465"/>
      <c r="F388" s="465"/>
      <c r="H388" s="466"/>
      <c r="I388" s="466"/>
      <c r="R388" s="477"/>
      <c r="S388" s="477"/>
      <c r="U388" s="478"/>
      <c r="V388" s="478"/>
      <c r="AD388" s="477"/>
    </row>
    <row r="389" spans="5:30">
      <c r="E389" s="465"/>
      <c r="F389" s="465"/>
      <c r="H389" s="466"/>
      <c r="I389" s="466"/>
      <c r="R389" s="477"/>
      <c r="S389" s="477"/>
      <c r="U389" s="478"/>
      <c r="V389" s="478"/>
      <c r="AD389" s="477"/>
    </row>
    <row r="390" spans="5:30">
      <c r="E390" s="465"/>
      <c r="F390" s="465"/>
      <c r="H390" s="466"/>
      <c r="I390" s="466"/>
      <c r="R390" s="477"/>
      <c r="S390" s="477"/>
      <c r="U390" s="478"/>
      <c r="V390" s="478"/>
      <c r="AD390" s="477"/>
    </row>
    <row r="391" spans="5:30">
      <c r="E391" s="465"/>
      <c r="F391" s="465"/>
      <c r="H391" s="466"/>
      <c r="I391" s="466"/>
      <c r="R391" s="477"/>
      <c r="S391" s="477"/>
      <c r="U391" s="478"/>
      <c r="V391" s="478"/>
      <c r="AD391" s="477"/>
    </row>
    <row r="392" spans="5:30">
      <c r="E392" s="465"/>
      <c r="F392" s="465"/>
      <c r="H392" s="466"/>
      <c r="I392" s="466"/>
      <c r="R392" s="477"/>
      <c r="S392" s="477"/>
      <c r="U392" s="478"/>
      <c r="V392" s="478"/>
      <c r="AD392" s="477"/>
    </row>
    <row r="393" spans="5:30">
      <c r="E393" s="465"/>
      <c r="F393" s="465"/>
      <c r="H393" s="466"/>
      <c r="I393" s="466"/>
      <c r="R393" s="477"/>
      <c r="S393" s="477"/>
      <c r="U393" s="478"/>
      <c r="V393" s="478"/>
      <c r="AD393" s="477"/>
    </row>
    <row r="394" spans="5:30">
      <c r="E394" s="465"/>
      <c r="F394" s="465"/>
      <c r="H394" s="466"/>
      <c r="I394" s="466"/>
      <c r="R394" s="477"/>
      <c r="S394" s="477"/>
      <c r="U394" s="478"/>
      <c r="V394" s="478"/>
      <c r="AD394" s="477"/>
    </row>
    <row r="395" spans="5:30">
      <c r="E395" s="465"/>
      <c r="F395" s="465"/>
      <c r="H395" s="466"/>
      <c r="I395" s="466"/>
      <c r="R395" s="477"/>
      <c r="S395" s="477"/>
      <c r="U395" s="478"/>
      <c r="V395" s="478"/>
      <c r="AD395" s="477"/>
    </row>
    <row r="396" spans="5:30">
      <c r="E396" s="465"/>
      <c r="F396" s="465"/>
      <c r="H396" s="466"/>
      <c r="I396" s="466"/>
      <c r="R396" s="477"/>
      <c r="S396" s="477"/>
      <c r="U396" s="478"/>
      <c r="V396" s="478"/>
      <c r="AD396" s="477"/>
    </row>
    <row r="397" spans="5:30">
      <c r="E397" s="465"/>
      <c r="F397" s="465"/>
      <c r="H397" s="466"/>
      <c r="I397" s="466"/>
      <c r="R397" s="477"/>
      <c r="S397" s="477"/>
      <c r="U397" s="478"/>
      <c r="V397" s="478"/>
      <c r="AD397" s="477"/>
    </row>
    <row r="398" spans="5:30">
      <c r="E398" s="465"/>
      <c r="F398" s="465"/>
      <c r="H398" s="466"/>
      <c r="I398" s="466"/>
      <c r="R398" s="477"/>
      <c r="S398" s="477"/>
      <c r="U398" s="478"/>
      <c r="V398" s="478"/>
      <c r="AD398" s="477"/>
    </row>
    <row r="399" spans="5:30">
      <c r="E399" s="465"/>
      <c r="F399" s="465"/>
      <c r="H399" s="466"/>
      <c r="I399" s="466"/>
      <c r="R399" s="477"/>
      <c r="S399" s="477"/>
      <c r="U399" s="478"/>
      <c r="V399" s="478"/>
      <c r="AD399" s="477"/>
    </row>
    <row r="400" spans="5:30">
      <c r="E400" s="465"/>
      <c r="F400" s="465"/>
      <c r="H400" s="466"/>
      <c r="I400" s="466"/>
      <c r="R400" s="477"/>
      <c r="S400" s="477"/>
      <c r="U400" s="478"/>
      <c r="V400" s="478"/>
      <c r="AD400" s="477"/>
    </row>
    <row r="401" spans="5:40">
      <c r="E401" s="465"/>
      <c r="F401" s="465"/>
      <c r="H401" s="466"/>
      <c r="I401" s="466"/>
      <c r="R401" s="477"/>
      <c r="S401" s="477"/>
      <c r="U401" s="478"/>
      <c r="V401" s="478"/>
      <c r="AD401" s="477"/>
    </row>
    <row r="402" spans="5:40">
      <c r="E402" s="465"/>
      <c r="F402" s="465"/>
      <c r="H402" s="466"/>
      <c r="I402" s="466"/>
      <c r="R402" s="477"/>
      <c r="S402" s="477"/>
      <c r="U402" s="478"/>
      <c r="V402" s="478"/>
      <c r="AD402" s="477"/>
    </row>
    <row r="403" spans="5:40">
      <c r="E403" s="465"/>
      <c r="F403" s="465"/>
      <c r="H403" s="466"/>
      <c r="I403" s="466"/>
      <c r="R403" s="477"/>
      <c r="S403" s="477"/>
      <c r="U403" s="478"/>
      <c r="V403" s="478"/>
      <c r="AD403" s="477"/>
    </row>
    <row r="404" spans="5:40">
      <c r="E404" s="465"/>
      <c r="F404" s="465"/>
      <c r="H404" s="466"/>
      <c r="I404" s="466"/>
      <c r="R404" s="477"/>
      <c r="S404" s="477"/>
      <c r="U404" s="478"/>
      <c r="V404" s="478"/>
      <c r="AD404" s="477"/>
    </row>
    <row r="405" spans="5:40">
      <c r="E405" s="465"/>
      <c r="F405" s="465"/>
      <c r="H405" s="466"/>
      <c r="I405" s="466"/>
      <c r="R405" s="477"/>
      <c r="S405" s="477"/>
      <c r="U405" s="478"/>
      <c r="V405" s="478"/>
      <c r="AD405" s="477"/>
    </row>
    <row r="406" spans="5:40">
      <c r="E406" s="465"/>
      <c r="F406" s="465"/>
      <c r="H406" s="466"/>
      <c r="I406" s="466"/>
      <c r="R406" s="477"/>
      <c r="S406" s="477"/>
      <c r="U406" s="478"/>
      <c r="V406" s="478"/>
      <c r="AD406" s="477"/>
    </row>
    <row r="407" spans="5:40">
      <c r="E407" s="465"/>
      <c r="F407" s="465"/>
      <c r="H407" s="466"/>
      <c r="I407" s="466"/>
      <c r="R407" s="477"/>
      <c r="S407" s="477"/>
      <c r="U407" s="478"/>
      <c r="V407" s="478"/>
      <c r="AD407" s="477"/>
    </row>
    <row r="408" spans="5:40">
      <c r="E408" s="465"/>
      <c r="F408" s="465"/>
      <c r="H408" s="466"/>
      <c r="I408" s="466"/>
      <c r="R408" s="477"/>
      <c r="S408" s="477"/>
      <c r="U408" s="478"/>
      <c r="V408" s="478"/>
      <c r="AD408" s="477"/>
    </row>
    <row r="409" spans="5:40">
      <c r="E409" s="465"/>
      <c r="F409" s="465"/>
      <c r="H409" s="466"/>
      <c r="I409" s="466"/>
      <c r="R409" s="477"/>
      <c r="S409" s="477"/>
      <c r="U409" s="478"/>
      <c r="V409" s="478"/>
      <c r="AD409" s="477"/>
    </row>
    <row r="410" spans="5:40">
      <c r="E410" s="465"/>
      <c r="F410" s="465"/>
      <c r="H410" s="466"/>
      <c r="I410" s="466"/>
      <c r="R410" s="477"/>
      <c r="S410" s="477"/>
      <c r="U410" s="478"/>
      <c r="V410" s="478"/>
      <c r="AD410" s="477"/>
    </row>
    <row r="411" spans="5:40">
      <c r="E411" s="465"/>
      <c r="F411" s="465"/>
      <c r="H411" s="466"/>
      <c r="I411" s="466"/>
      <c r="R411" s="477"/>
      <c r="S411" s="477"/>
      <c r="U411" s="478"/>
      <c r="V411" s="478"/>
      <c r="AD411" s="477"/>
    </row>
    <row r="412" spans="5:40">
      <c r="E412" s="465"/>
      <c r="F412" s="465"/>
      <c r="H412" s="466"/>
      <c r="I412" s="466"/>
      <c r="R412" s="477"/>
      <c r="S412" s="477"/>
      <c r="U412" s="478"/>
      <c r="V412" s="478"/>
      <c r="AD412" s="477"/>
    </row>
    <row r="413" spans="5:40">
      <c r="E413" s="465"/>
      <c r="F413" s="465"/>
      <c r="H413" s="466"/>
      <c r="I413" s="466"/>
      <c r="R413" s="477"/>
      <c r="S413" s="477"/>
      <c r="U413" s="478"/>
      <c r="V413" s="478"/>
      <c r="AD413" s="477"/>
    </row>
    <row r="414" spans="5:40">
      <c r="E414" s="465"/>
      <c r="F414" s="465"/>
      <c r="H414" s="466"/>
      <c r="I414" s="466"/>
      <c r="R414" s="477"/>
      <c r="S414" s="477"/>
      <c r="U414" s="478"/>
      <c r="V414" s="478"/>
      <c r="AD414" s="477"/>
    </row>
    <row r="415" spans="5:40">
      <c r="E415" s="465"/>
      <c r="F415" s="465"/>
      <c r="G415" s="477"/>
      <c r="H415" s="466"/>
      <c r="I415" s="466"/>
      <c r="J415" s="477"/>
      <c r="K415" s="477"/>
      <c r="N415" s="477"/>
      <c r="O415" s="477"/>
      <c r="P415" s="477"/>
      <c r="Q415" s="477"/>
      <c r="R415" s="477"/>
      <c r="S415" s="477"/>
      <c r="T415" s="477"/>
      <c r="U415" s="477"/>
      <c r="V415" s="477"/>
      <c r="AD415" s="477"/>
      <c r="AE415" s="477"/>
      <c r="AF415" s="477"/>
      <c r="AG415" s="477"/>
      <c r="AH415" s="477"/>
      <c r="AJ415" s="477"/>
      <c r="AK415" s="477"/>
      <c r="AL415" s="477"/>
      <c r="AM415" s="477"/>
      <c r="AN415" s="477"/>
    </row>
    <row r="416" spans="5:40">
      <c r="E416" s="465"/>
      <c r="F416" s="465"/>
      <c r="H416" s="466"/>
      <c r="I416" s="466"/>
      <c r="R416" s="477"/>
      <c r="S416" s="477"/>
      <c r="U416" s="478"/>
      <c r="V416" s="478"/>
      <c r="AD416" s="477"/>
    </row>
    <row r="417" spans="5:30">
      <c r="E417" s="465"/>
      <c r="F417" s="465"/>
      <c r="H417" s="466"/>
      <c r="I417" s="466"/>
      <c r="R417" s="477"/>
      <c r="S417" s="477"/>
      <c r="U417" s="478"/>
      <c r="V417" s="478"/>
      <c r="AD417" s="477"/>
    </row>
    <row r="418" spans="5:30">
      <c r="E418" s="465"/>
      <c r="F418" s="465"/>
      <c r="H418" s="466"/>
      <c r="I418" s="466"/>
      <c r="R418" s="477"/>
      <c r="S418" s="477"/>
      <c r="U418" s="478"/>
      <c r="V418" s="478"/>
      <c r="AD418" s="477"/>
    </row>
    <row r="419" spans="5:30">
      <c r="E419" s="465"/>
      <c r="F419" s="465"/>
      <c r="H419" s="466"/>
      <c r="I419" s="466"/>
      <c r="R419" s="477"/>
      <c r="S419" s="477"/>
      <c r="U419" s="478"/>
      <c r="V419" s="478"/>
      <c r="AD419" s="477"/>
    </row>
    <row r="420" spans="5:30">
      <c r="E420" s="465"/>
      <c r="F420" s="465"/>
      <c r="H420" s="466"/>
      <c r="I420" s="466"/>
      <c r="R420" s="477"/>
      <c r="S420" s="477"/>
      <c r="U420" s="478"/>
      <c r="V420" s="478"/>
      <c r="AD420" s="477"/>
    </row>
    <row r="421" spans="5:30">
      <c r="E421" s="465"/>
      <c r="F421" s="465"/>
      <c r="H421" s="466"/>
      <c r="I421" s="466"/>
      <c r="R421" s="477"/>
      <c r="S421" s="477"/>
      <c r="U421" s="478"/>
      <c r="V421" s="478"/>
      <c r="AD421" s="477"/>
    </row>
    <row r="422" spans="5:30">
      <c r="E422" s="465"/>
      <c r="F422" s="465"/>
      <c r="H422" s="466"/>
      <c r="I422" s="466"/>
      <c r="R422" s="477"/>
      <c r="S422" s="477"/>
      <c r="U422" s="478"/>
      <c r="V422" s="478"/>
      <c r="AD422" s="477"/>
    </row>
    <row r="423" spans="5:30">
      <c r="E423" s="465"/>
      <c r="F423" s="465"/>
      <c r="H423" s="466"/>
      <c r="I423" s="466"/>
      <c r="R423" s="477"/>
      <c r="S423" s="477"/>
      <c r="U423" s="478"/>
      <c r="V423" s="478"/>
      <c r="AD423" s="477"/>
    </row>
    <row r="424" spans="5:30">
      <c r="E424" s="465"/>
      <c r="F424" s="465"/>
      <c r="H424" s="466"/>
      <c r="I424" s="466"/>
      <c r="R424" s="477"/>
      <c r="S424" s="477"/>
      <c r="U424" s="478"/>
      <c r="V424" s="478"/>
      <c r="AD424" s="477"/>
    </row>
    <row r="425" spans="5:30">
      <c r="E425" s="465"/>
      <c r="F425" s="465"/>
      <c r="H425" s="466"/>
      <c r="I425" s="466"/>
      <c r="R425" s="477"/>
      <c r="S425" s="477"/>
      <c r="U425" s="478"/>
      <c r="V425" s="478"/>
      <c r="AD425" s="477"/>
    </row>
    <row r="426" spans="5:30">
      <c r="E426" s="465"/>
      <c r="F426" s="465"/>
      <c r="H426" s="466"/>
      <c r="I426" s="466"/>
      <c r="R426" s="477"/>
      <c r="S426" s="477"/>
      <c r="U426" s="478"/>
      <c r="V426" s="478"/>
      <c r="AD426" s="477"/>
    </row>
    <row r="427" spans="5:30">
      <c r="E427" s="465"/>
      <c r="F427" s="465"/>
      <c r="H427" s="466"/>
      <c r="I427" s="466"/>
      <c r="R427" s="477"/>
      <c r="S427" s="477"/>
      <c r="U427" s="478"/>
      <c r="V427" s="478"/>
      <c r="AD427" s="477"/>
    </row>
    <row r="428" spans="5:30">
      <c r="E428" s="465"/>
      <c r="F428" s="465"/>
      <c r="H428" s="466"/>
      <c r="I428" s="466"/>
      <c r="R428" s="477"/>
      <c r="S428" s="477"/>
      <c r="U428" s="478"/>
      <c r="V428" s="478"/>
      <c r="AD428" s="477"/>
    </row>
    <row r="429" spans="5:30">
      <c r="E429" s="465"/>
      <c r="F429" s="465"/>
      <c r="H429" s="466"/>
      <c r="I429" s="466"/>
      <c r="R429" s="477"/>
      <c r="S429" s="477"/>
      <c r="U429" s="478"/>
      <c r="V429" s="478"/>
      <c r="AD429" s="477"/>
    </row>
    <row r="430" spans="5:30">
      <c r="E430" s="465"/>
      <c r="F430" s="465"/>
      <c r="H430" s="466"/>
      <c r="I430" s="466"/>
      <c r="R430" s="477"/>
      <c r="S430" s="477"/>
      <c r="U430" s="478"/>
      <c r="V430" s="478"/>
      <c r="AD430" s="477"/>
    </row>
    <row r="431" spans="5:30">
      <c r="E431" s="465"/>
      <c r="F431" s="465"/>
      <c r="H431" s="466"/>
      <c r="I431" s="466"/>
      <c r="R431" s="477"/>
      <c r="S431" s="477"/>
      <c r="U431" s="478"/>
      <c r="V431" s="478"/>
      <c r="AD431" s="477"/>
    </row>
    <row r="432" spans="5:30">
      <c r="E432" s="465"/>
      <c r="F432" s="465"/>
      <c r="H432" s="466"/>
      <c r="I432" s="466"/>
      <c r="R432" s="477"/>
      <c r="S432" s="477"/>
      <c r="U432" s="478"/>
      <c r="V432" s="478"/>
      <c r="AD432" s="477"/>
    </row>
    <row r="433" spans="5:30">
      <c r="E433" s="465"/>
      <c r="F433" s="465"/>
      <c r="H433" s="466"/>
      <c r="I433" s="466"/>
      <c r="R433" s="477"/>
      <c r="S433" s="477"/>
      <c r="U433" s="478"/>
      <c r="V433" s="478"/>
      <c r="AD433" s="477"/>
    </row>
    <row r="434" spans="5:30">
      <c r="E434" s="465"/>
      <c r="F434" s="465"/>
      <c r="H434" s="466"/>
      <c r="I434" s="466"/>
      <c r="R434" s="477"/>
      <c r="S434" s="477"/>
      <c r="U434" s="478"/>
      <c r="V434" s="478"/>
      <c r="AD434" s="477"/>
    </row>
    <row r="435" spans="5:30">
      <c r="E435" s="465"/>
      <c r="F435" s="465"/>
      <c r="H435" s="466"/>
      <c r="I435" s="466"/>
      <c r="R435" s="477"/>
      <c r="S435" s="477"/>
      <c r="U435" s="478"/>
      <c r="V435" s="478"/>
      <c r="AD435" s="477"/>
    </row>
    <row r="436" spans="5:30">
      <c r="E436" s="465"/>
      <c r="F436" s="465"/>
      <c r="H436" s="466"/>
      <c r="I436" s="466"/>
      <c r="R436" s="477"/>
      <c r="S436" s="477"/>
      <c r="U436" s="478"/>
      <c r="V436" s="478"/>
      <c r="AD436" s="477"/>
    </row>
    <row r="437" spans="5:30">
      <c r="E437" s="465"/>
      <c r="F437" s="465"/>
      <c r="H437" s="466"/>
      <c r="I437" s="466"/>
      <c r="R437" s="477"/>
      <c r="S437" s="477"/>
      <c r="U437" s="478"/>
      <c r="V437" s="478"/>
      <c r="AD437" s="477"/>
    </row>
    <row r="438" spans="5:30">
      <c r="E438" s="465"/>
      <c r="F438" s="465"/>
      <c r="H438" s="466"/>
      <c r="I438" s="466"/>
      <c r="R438" s="477"/>
      <c r="S438" s="477"/>
      <c r="U438" s="478"/>
      <c r="V438" s="478"/>
      <c r="AD438" s="477"/>
    </row>
    <row r="439" spans="5:30">
      <c r="E439" s="465"/>
      <c r="F439" s="465"/>
      <c r="H439" s="466"/>
      <c r="I439" s="466"/>
      <c r="R439" s="477"/>
      <c r="S439" s="477"/>
      <c r="U439" s="478"/>
      <c r="V439" s="478"/>
      <c r="AD439" s="477"/>
    </row>
    <row r="440" spans="5:30">
      <c r="E440" s="465"/>
      <c r="F440" s="465"/>
      <c r="H440" s="466"/>
      <c r="I440" s="466"/>
      <c r="R440" s="477"/>
      <c r="S440" s="477"/>
      <c r="U440" s="478"/>
      <c r="V440" s="478"/>
      <c r="AD440" s="477"/>
    </row>
    <row r="441" spans="5:30">
      <c r="E441" s="465"/>
      <c r="F441" s="465"/>
      <c r="H441" s="466"/>
      <c r="I441" s="466"/>
      <c r="R441" s="477"/>
      <c r="S441" s="477"/>
      <c r="U441" s="478"/>
      <c r="V441" s="478"/>
      <c r="AD441" s="477"/>
    </row>
    <row r="442" spans="5:30">
      <c r="E442" s="465"/>
      <c r="F442" s="465"/>
      <c r="H442" s="466"/>
      <c r="I442" s="466"/>
      <c r="R442" s="477"/>
      <c r="S442" s="477"/>
      <c r="U442" s="478"/>
      <c r="V442" s="478"/>
      <c r="AD442" s="477"/>
    </row>
    <row r="443" spans="5:30">
      <c r="E443" s="465"/>
      <c r="F443" s="465"/>
      <c r="H443" s="466"/>
      <c r="I443" s="466"/>
      <c r="R443" s="477"/>
      <c r="S443" s="477"/>
      <c r="U443" s="478"/>
      <c r="V443" s="478"/>
      <c r="AD443" s="477"/>
    </row>
    <row r="444" spans="5:30">
      <c r="E444" s="465"/>
      <c r="F444" s="465"/>
      <c r="H444" s="466"/>
      <c r="I444" s="466"/>
      <c r="R444" s="477"/>
      <c r="S444" s="477"/>
      <c r="U444" s="478"/>
      <c r="V444" s="478"/>
      <c r="AD444" s="477"/>
    </row>
    <row r="445" spans="5:30">
      <c r="E445" s="465"/>
      <c r="F445" s="465"/>
      <c r="H445" s="466"/>
      <c r="I445" s="466"/>
      <c r="R445" s="477"/>
      <c r="S445" s="477"/>
      <c r="U445" s="478"/>
      <c r="V445" s="478"/>
      <c r="AD445" s="477"/>
    </row>
    <row r="446" spans="5:30">
      <c r="E446" s="465"/>
      <c r="F446" s="465"/>
      <c r="H446" s="466"/>
      <c r="I446" s="466"/>
      <c r="R446" s="477"/>
      <c r="S446" s="477"/>
      <c r="U446" s="478"/>
      <c r="V446" s="478"/>
      <c r="AD446" s="477"/>
    </row>
    <row r="447" spans="5:30">
      <c r="E447" s="465"/>
      <c r="F447" s="465"/>
      <c r="H447" s="466"/>
      <c r="I447" s="466"/>
      <c r="R447" s="477"/>
      <c r="S447" s="477"/>
      <c r="U447" s="478"/>
      <c r="V447" s="478"/>
      <c r="AD447" s="477"/>
    </row>
    <row r="448" spans="5:30">
      <c r="E448" s="465"/>
      <c r="F448" s="465"/>
      <c r="H448" s="466"/>
      <c r="I448" s="466"/>
      <c r="R448" s="477"/>
      <c r="S448" s="477"/>
      <c r="U448" s="478"/>
      <c r="V448" s="478"/>
      <c r="AD448" s="477"/>
    </row>
    <row r="449" spans="5:30">
      <c r="E449" s="465"/>
      <c r="F449" s="465"/>
      <c r="H449" s="466"/>
      <c r="I449" s="466"/>
      <c r="R449" s="477"/>
      <c r="S449" s="477"/>
      <c r="U449" s="478"/>
      <c r="V449" s="478"/>
      <c r="AD449" s="477"/>
    </row>
    <row r="450" spans="5:30">
      <c r="E450" s="465"/>
      <c r="F450" s="465"/>
      <c r="H450" s="466"/>
      <c r="I450" s="466"/>
      <c r="R450" s="477"/>
      <c r="S450" s="477"/>
      <c r="U450" s="478"/>
      <c r="V450" s="478"/>
      <c r="AD450" s="477"/>
    </row>
    <row r="451" spans="5:30">
      <c r="E451" s="465"/>
      <c r="F451" s="465"/>
      <c r="H451" s="466"/>
      <c r="I451" s="466"/>
      <c r="R451" s="477"/>
      <c r="S451" s="477"/>
      <c r="U451" s="478"/>
      <c r="V451" s="478"/>
      <c r="AD451" s="477"/>
    </row>
    <row r="452" spans="5:30">
      <c r="E452" s="465"/>
      <c r="F452" s="465"/>
      <c r="H452" s="466"/>
      <c r="I452" s="466"/>
      <c r="R452" s="477"/>
      <c r="S452" s="477"/>
      <c r="U452" s="478"/>
      <c r="V452" s="478"/>
      <c r="AD452" s="477"/>
    </row>
    <row r="453" spans="5:30">
      <c r="E453" s="465"/>
      <c r="F453" s="465"/>
      <c r="H453" s="466"/>
      <c r="I453" s="466"/>
      <c r="R453" s="477"/>
      <c r="S453" s="477"/>
      <c r="U453" s="478"/>
      <c r="V453" s="478"/>
      <c r="AD453" s="477"/>
    </row>
    <row r="454" spans="5:30">
      <c r="E454" s="465"/>
      <c r="F454" s="465"/>
      <c r="H454" s="466"/>
      <c r="I454" s="466"/>
      <c r="R454" s="477"/>
      <c r="S454" s="477"/>
      <c r="U454" s="478"/>
      <c r="V454" s="478"/>
      <c r="AD454" s="477"/>
    </row>
    <row r="455" spans="5:30">
      <c r="E455" s="465"/>
      <c r="F455" s="465"/>
      <c r="H455" s="466"/>
      <c r="I455" s="466"/>
      <c r="R455" s="477"/>
      <c r="S455" s="477"/>
      <c r="U455" s="478"/>
      <c r="V455" s="478"/>
      <c r="AD455" s="477"/>
    </row>
    <row r="456" spans="5:30">
      <c r="E456" s="465"/>
      <c r="F456" s="465"/>
      <c r="H456" s="466"/>
      <c r="I456" s="466"/>
      <c r="R456" s="477"/>
      <c r="S456" s="477"/>
      <c r="U456" s="478"/>
      <c r="V456" s="478"/>
      <c r="AD456" s="477"/>
    </row>
    <row r="457" spans="5:30">
      <c r="E457" s="465"/>
      <c r="F457" s="465"/>
      <c r="H457" s="466"/>
      <c r="I457" s="466"/>
      <c r="R457" s="477"/>
      <c r="S457" s="477"/>
      <c r="U457" s="478"/>
      <c r="V457" s="478"/>
      <c r="AD457" s="477"/>
    </row>
    <row r="458" spans="5:30">
      <c r="E458" s="465"/>
      <c r="F458" s="465"/>
      <c r="H458" s="466"/>
      <c r="I458" s="466"/>
      <c r="R458" s="477"/>
      <c r="S458" s="477"/>
      <c r="U458" s="478"/>
      <c r="V458" s="478"/>
      <c r="AD458" s="477"/>
    </row>
    <row r="459" spans="5:30">
      <c r="E459" s="465"/>
      <c r="F459" s="465"/>
      <c r="H459" s="466"/>
      <c r="I459" s="466"/>
      <c r="R459" s="477"/>
      <c r="S459" s="477"/>
      <c r="U459" s="478"/>
      <c r="V459" s="478"/>
      <c r="AD459" s="477"/>
    </row>
    <row r="460" spans="5:30">
      <c r="E460" s="465"/>
      <c r="F460" s="465"/>
      <c r="H460" s="466"/>
      <c r="I460" s="466"/>
      <c r="R460" s="477"/>
      <c r="S460" s="477"/>
      <c r="U460" s="478"/>
      <c r="V460" s="478"/>
      <c r="AD460" s="477"/>
    </row>
    <row r="461" spans="5:30">
      <c r="E461" s="465"/>
      <c r="F461" s="465"/>
      <c r="H461" s="466"/>
      <c r="I461" s="466"/>
      <c r="R461" s="477"/>
      <c r="S461" s="477"/>
      <c r="U461" s="478"/>
      <c r="V461" s="478"/>
      <c r="AD461" s="477"/>
    </row>
    <row r="462" spans="5:30">
      <c r="E462" s="465"/>
      <c r="F462" s="465"/>
      <c r="H462" s="466"/>
      <c r="I462" s="466"/>
      <c r="R462" s="477"/>
      <c r="S462" s="477"/>
      <c r="U462" s="478"/>
      <c r="V462" s="478"/>
      <c r="AD462" s="477"/>
    </row>
    <row r="463" spans="5:30">
      <c r="E463" s="465"/>
      <c r="F463" s="465"/>
      <c r="H463" s="466"/>
      <c r="I463" s="466"/>
      <c r="R463" s="477"/>
      <c r="S463" s="477"/>
      <c r="U463" s="478"/>
      <c r="V463" s="478"/>
      <c r="AD463" s="477"/>
    </row>
    <row r="464" spans="5:30">
      <c r="E464" s="465"/>
      <c r="F464" s="465"/>
      <c r="H464" s="466"/>
      <c r="I464" s="466"/>
      <c r="R464" s="477"/>
      <c r="S464" s="477"/>
      <c r="U464" s="478"/>
      <c r="V464" s="478"/>
      <c r="AD464" s="477"/>
    </row>
    <row r="465" spans="5:30">
      <c r="E465" s="465"/>
      <c r="F465" s="465"/>
      <c r="H465" s="466"/>
      <c r="I465" s="466"/>
      <c r="R465" s="477"/>
      <c r="S465" s="477"/>
      <c r="U465" s="478"/>
      <c r="V465" s="478"/>
      <c r="AD465" s="477"/>
    </row>
    <row r="466" spans="5:30">
      <c r="E466" s="465"/>
      <c r="F466" s="465"/>
      <c r="H466" s="466"/>
      <c r="I466" s="466"/>
      <c r="R466" s="477"/>
      <c r="S466" s="477"/>
      <c r="U466" s="478"/>
      <c r="V466" s="478"/>
      <c r="AD466" s="477"/>
    </row>
    <row r="467" spans="5:30">
      <c r="E467" s="465"/>
      <c r="F467" s="465"/>
      <c r="H467" s="466"/>
      <c r="I467" s="466"/>
      <c r="R467" s="477"/>
      <c r="S467" s="477"/>
      <c r="U467" s="478"/>
      <c r="V467" s="478"/>
      <c r="AD467" s="477"/>
    </row>
    <row r="468" spans="5:30">
      <c r="E468" s="465"/>
      <c r="F468" s="465"/>
      <c r="H468" s="466"/>
      <c r="I468" s="466"/>
      <c r="R468" s="477"/>
      <c r="S468" s="477"/>
      <c r="U468" s="478"/>
      <c r="V468" s="478"/>
      <c r="AD468" s="477"/>
    </row>
    <row r="469" spans="5:30">
      <c r="E469" s="465"/>
      <c r="F469" s="465"/>
      <c r="H469" s="466"/>
      <c r="I469" s="466"/>
      <c r="R469" s="477"/>
      <c r="S469" s="477"/>
      <c r="U469" s="478"/>
      <c r="V469" s="478"/>
      <c r="AD469" s="477"/>
    </row>
    <row r="470" spans="5:30">
      <c r="E470" s="465"/>
      <c r="F470" s="465"/>
      <c r="H470" s="466"/>
      <c r="I470" s="466"/>
      <c r="R470" s="477"/>
      <c r="S470" s="477"/>
      <c r="U470" s="478"/>
      <c r="V470" s="478"/>
      <c r="AD470" s="477"/>
    </row>
    <row r="471" spans="5:30">
      <c r="E471" s="465"/>
      <c r="F471" s="465"/>
      <c r="H471" s="466"/>
      <c r="I471" s="466"/>
      <c r="R471" s="477"/>
      <c r="S471" s="477"/>
      <c r="U471" s="478"/>
      <c r="V471" s="478"/>
      <c r="AD471" s="477"/>
    </row>
    <row r="472" spans="5:30">
      <c r="E472" s="465"/>
      <c r="F472" s="465"/>
      <c r="H472" s="466"/>
      <c r="I472" s="466"/>
      <c r="R472" s="477"/>
      <c r="S472" s="477"/>
      <c r="U472" s="478"/>
      <c r="V472" s="478"/>
      <c r="AD472" s="477"/>
    </row>
    <row r="473" spans="5:30">
      <c r="E473" s="465"/>
      <c r="F473" s="465"/>
      <c r="H473" s="466"/>
      <c r="I473" s="466"/>
      <c r="R473" s="477"/>
      <c r="S473" s="477"/>
      <c r="U473" s="478"/>
      <c r="V473" s="478"/>
      <c r="AD473" s="477"/>
    </row>
    <row r="474" spans="5:30">
      <c r="E474" s="465"/>
      <c r="F474" s="465"/>
      <c r="H474" s="466"/>
      <c r="I474" s="466"/>
      <c r="R474" s="477"/>
      <c r="S474" s="477"/>
      <c r="U474" s="478"/>
      <c r="V474" s="478"/>
      <c r="AD474" s="477"/>
    </row>
    <row r="475" spans="5:30">
      <c r="E475" s="465"/>
      <c r="F475" s="465"/>
      <c r="H475" s="466"/>
      <c r="I475" s="466"/>
      <c r="R475" s="477"/>
      <c r="S475" s="477"/>
      <c r="U475" s="478"/>
      <c r="V475" s="478"/>
      <c r="AD475" s="477"/>
    </row>
    <row r="476" spans="5:30">
      <c r="E476" s="465"/>
      <c r="F476" s="465"/>
      <c r="H476" s="466"/>
      <c r="I476" s="466"/>
      <c r="R476" s="477"/>
      <c r="S476" s="477"/>
      <c r="U476" s="478"/>
      <c r="V476" s="478"/>
      <c r="AD476" s="477"/>
    </row>
    <row r="477" spans="5:30">
      <c r="E477" s="465"/>
      <c r="F477" s="465"/>
      <c r="H477" s="466"/>
      <c r="I477" s="466"/>
      <c r="R477" s="477"/>
      <c r="S477" s="477"/>
      <c r="U477" s="478"/>
      <c r="V477" s="478"/>
      <c r="AD477" s="477"/>
    </row>
    <row r="478" spans="5:30">
      <c r="E478" s="465"/>
      <c r="F478" s="465"/>
      <c r="H478" s="466"/>
      <c r="I478" s="466"/>
      <c r="R478" s="477"/>
      <c r="S478" s="477"/>
      <c r="U478" s="478"/>
      <c r="V478" s="478"/>
      <c r="AD478" s="477"/>
    </row>
    <row r="479" spans="5:30">
      <c r="E479" s="465"/>
      <c r="F479" s="465"/>
      <c r="H479" s="466"/>
      <c r="I479" s="466"/>
      <c r="R479" s="477"/>
      <c r="S479" s="477"/>
      <c r="U479" s="478"/>
      <c r="V479" s="478"/>
      <c r="AD479" s="477"/>
    </row>
    <row r="480" spans="5:30">
      <c r="E480" s="465"/>
      <c r="F480" s="465"/>
      <c r="H480" s="466"/>
      <c r="I480" s="466"/>
      <c r="R480" s="477"/>
      <c r="S480" s="477"/>
      <c r="U480" s="478"/>
      <c r="V480" s="478"/>
      <c r="AD480" s="477"/>
    </row>
    <row r="481" spans="5:40">
      <c r="E481" s="465"/>
      <c r="F481" s="465"/>
      <c r="H481" s="466"/>
      <c r="I481" s="466"/>
      <c r="R481" s="477"/>
      <c r="S481" s="477"/>
      <c r="U481" s="478"/>
      <c r="V481" s="478"/>
      <c r="AD481" s="477"/>
    </row>
    <row r="482" spans="5:40">
      <c r="E482" s="465"/>
      <c r="F482" s="465"/>
      <c r="H482" s="466"/>
      <c r="I482" s="466"/>
      <c r="R482" s="477"/>
      <c r="S482" s="477"/>
      <c r="U482" s="478"/>
      <c r="V482" s="478"/>
      <c r="AD482" s="477"/>
    </row>
    <row r="483" spans="5:40">
      <c r="E483" s="465"/>
      <c r="F483" s="465"/>
      <c r="H483" s="466"/>
      <c r="I483" s="466"/>
      <c r="R483" s="477"/>
      <c r="S483" s="477"/>
      <c r="U483" s="478"/>
      <c r="V483" s="478"/>
      <c r="AD483" s="477"/>
    </row>
    <row r="484" spans="5:40">
      <c r="E484" s="465"/>
      <c r="F484" s="465"/>
      <c r="H484" s="466"/>
      <c r="I484" s="466"/>
      <c r="R484" s="477"/>
      <c r="S484" s="477"/>
      <c r="U484" s="478"/>
      <c r="V484" s="478"/>
      <c r="AD484" s="477"/>
    </row>
    <row r="485" spans="5:40">
      <c r="E485" s="465"/>
      <c r="F485" s="465"/>
      <c r="H485" s="466"/>
      <c r="I485" s="466"/>
      <c r="R485" s="477"/>
      <c r="S485" s="477"/>
      <c r="U485" s="478"/>
      <c r="V485" s="478"/>
      <c r="AD485" s="477"/>
    </row>
    <row r="486" spans="5:40">
      <c r="E486" s="465"/>
      <c r="F486" s="465"/>
      <c r="H486" s="466"/>
      <c r="I486" s="466"/>
      <c r="R486" s="477"/>
      <c r="S486" s="477"/>
      <c r="U486" s="478"/>
      <c r="V486" s="478"/>
      <c r="AD486" s="477"/>
    </row>
    <row r="487" spans="5:40">
      <c r="E487" s="465"/>
      <c r="F487" s="465"/>
      <c r="H487" s="466"/>
      <c r="I487" s="466"/>
      <c r="R487" s="477"/>
      <c r="S487" s="477"/>
      <c r="U487" s="478"/>
      <c r="V487" s="478"/>
      <c r="AD487" s="477"/>
    </row>
    <row r="488" spans="5:40">
      <c r="E488" s="465"/>
      <c r="F488" s="465"/>
      <c r="H488" s="466"/>
      <c r="I488" s="466"/>
      <c r="R488" s="477"/>
      <c r="S488" s="477"/>
      <c r="U488" s="478"/>
      <c r="V488" s="478"/>
      <c r="AD488" s="477"/>
    </row>
    <row r="489" spans="5:40">
      <c r="E489" s="465"/>
      <c r="F489" s="465"/>
      <c r="H489" s="466"/>
      <c r="I489" s="466"/>
      <c r="R489" s="477"/>
      <c r="S489" s="477"/>
      <c r="U489" s="478"/>
      <c r="V489" s="478"/>
      <c r="AD489" s="477"/>
    </row>
    <row r="490" spans="5:40">
      <c r="E490" s="465"/>
      <c r="F490" s="465"/>
      <c r="H490" s="466"/>
      <c r="I490" s="466"/>
      <c r="R490" s="477"/>
      <c r="S490" s="477"/>
      <c r="U490" s="478"/>
      <c r="V490" s="478"/>
      <c r="AD490" s="477"/>
    </row>
    <row r="491" spans="5:40">
      <c r="E491" s="465"/>
      <c r="F491" s="465"/>
      <c r="H491" s="466"/>
      <c r="I491" s="466"/>
      <c r="R491" s="477"/>
      <c r="S491" s="477"/>
      <c r="U491" s="478"/>
      <c r="V491" s="478"/>
      <c r="AD491" s="477"/>
    </row>
    <row r="492" spans="5:40">
      <c r="E492" s="465"/>
      <c r="F492" s="465"/>
      <c r="H492" s="466"/>
      <c r="I492" s="466"/>
      <c r="R492" s="477"/>
      <c r="S492" s="477"/>
      <c r="U492" s="478"/>
      <c r="V492" s="478"/>
      <c r="AD492" s="477"/>
    </row>
    <row r="493" spans="5:40">
      <c r="E493" s="465"/>
      <c r="F493" s="465"/>
      <c r="G493" s="477"/>
      <c r="H493" s="466"/>
      <c r="I493" s="466"/>
      <c r="J493" s="477"/>
      <c r="K493" s="477"/>
      <c r="N493" s="477"/>
      <c r="O493" s="477"/>
      <c r="P493" s="477"/>
      <c r="Q493" s="477"/>
      <c r="R493" s="477"/>
      <c r="S493" s="477"/>
      <c r="T493" s="477"/>
      <c r="U493" s="477"/>
      <c r="V493" s="477"/>
      <c r="AD493" s="477"/>
      <c r="AE493" s="477"/>
      <c r="AF493" s="477"/>
      <c r="AG493" s="477"/>
      <c r="AH493" s="477"/>
      <c r="AJ493" s="477"/>
      <c r="AK493" s="477"/>
      <c r="AL493" s="477"/>
      <c r="AM493" s="477"/>
      <c r="AN493" s="477"/>
    </row>
    <row r="494" spans="5:40">
      <c r="E494" s="465"/>
      <c r="F494" s="465"/>
      <c r="H494" s="466"/>
      <c r="I494" s="466"/>
      <c r="R494" s="477"/>
      <c r="S494" s="477"/>
      <c r="U494" s="478"/>
      <c r="V494" s="478"/>
      <c r="AD494" s="477"/>
    </row>
    <row r="495" spans="5:40">
      <c r="E495" s="465"/>
      <c r="F495" s="465"/>
      <c r="H495" s="466"/>
      <c r="I495" s="466"/>
      <c r="R495" s="477"/>
      <c r="S495" s="477"/>
      <c r="U495" s="478"/>
      <c r="V495" s="478"/>
      <c r="AD495" s="477"/>
    </row>
    <row r="496" spans="5:40">
      <c r="E496" s="465"/>
      <c r="F496" s="465"/>
      <c r="H496" s="466"/>
      <c r="I496" s="466"/>
      <c r="R496" s="477"/>
      <c r="S496" s="477"/>
      <c r="U496" s="478"/>
      <c r="V496" s="478"/>
      <c r="AD496" s="477"/>
    </row>
    <row r="497" spans="5:30">
      <c r="E497" s="465"/>
      <c r="F497" s="465"/>
      <c r="H497" s="466"/>
      <c r="I497" s="466"/>
      <c r="R497" s="477"/>
      <c r="S497" s="477"/>
      <c r="U497" s="478"/>
      <c r="V497" s="478"/>
      <c r="AD497" s="477"/>
    </row>
    <row r="498" spans="5:30">
      <c r="E498" s="465"/>
      <c r="F498" s="465"/>
      <c r="H498" s="466"/>
      <c r="I498" s="466"/>
      <c r="R498" s="477"/>
      <c r="S498" s="477"/>
      <c r="U498" s="478"/>
      <c r="V498" s="478"/>
      <c r="AD498" s="477"/>
    </row>
    <row r="499" spans="5:30">
      <c r="E499" s="465"/>
      <c r="F499" s="465"/>
      <c r="H499" s="466"/>
      <c r="I499" s="466"/>
      <c r="R499" s="477"/>
      <c r="S499" s="477"/>
      <c r="U499" s="478"/>
      <c r="V499" s="478"/>
      <c r="AD499" s="477"/>
    </row>
    <row r="500" spans="5:30">
      <c r="E500" s="465"/>
      <c r="F500" s="465"/>
      <c r="H500" s="466"/>
      <c r="I500" s="466"/>
      <c r="R500" s="477"/>
      <c r="S500" s="477"/>
      <c r="U500" s="478"/>
      <c r="V500" s="478"/>
      <c r="AD500" s="477"/>
    </row>
    <row r="501" spans="5:30">
      <c r="E501" s="465"/>
      <c r="F501" s="465"/>
      <c r="H501" s="466"/>
      <c r="I501" s="466"/>
      <c r="R501" s="477"/>
      <c r="S501" s="477"/>
      <c r="U501" s="478"/>
      <c r="V501" s="478"/>
      <c r="AD501" s="477"/>
    </row>
    <row r="502" spans="5:30">
      <c r="E502" s="465"/>
      <c r="F502" s="465"/>
      <c r="H502" s="466"/>
      <c r="I502" s="466"/>
      <c r="R502" s="477"/>
      <c r="S502" s="477"/>
      <c r="U502" s="478"/>
      <c r="V502" s="478"/>
      <c r="AD502" s="477"/>
    </row>
    <row r="503" spans="5:30">
      <c r="E503" s="465"/>
      <c r="F503" s="465"/>
      <c r="H503" s="466"/>
      <c r="I503" s="466"/>
      <c r="R503" s="477"/>
      <c r="S503" s="477"/>
      <c r="U503" s="478"/>
      <c r="V503" s="478"/>
      <c r="AD503" s="477"/>
    </row>
    <row r="504" spans="5:30">
      <c r="E504" s="465"/>
      <c r="F504" s="465"/>
      <c r="H504" s="466"/>
      <c r="I504" s="466"/>
      <c r="R504" s="477"/>
      <c r="S504" s="477"/>
      <c r="U504" s="478"/>
      <c r="V504" s="478"/>
      <c r="AD504" s="477"/>
    </row>
    <row r="505" spans="5:30">
      <c r="E505" s="465"/>
      <c r="F505" s="465"/>
      <c r="H505" s="466"/>
      <c r="I505" s="466"/>
      <c r="R505" s="477"/>
      <c r="S505" s="477"/>
      <c r="U505" s="478"/>
      <c r="V505" s="478"/>
      <c r="AD505" s="477"/>
    </row>
    <row r="506" spans="5:30">
      <c r="E506" s="465"/>
      <c r="F506" s="465"/>
      <c r="H506" s="466"/>
      <c r="I506" s="466"/>
      <c r="R506" s="477"/>
      <c r="S506" s="477"/>
      <c r="U506" s="478"/>
      <c r="V506" s="478"/>
      <c r="AD506" s="477"/>
    </row>
    <row r="507" spans="5:30">
      <c r="E507" s="465"/>
      <c r="F507" s="465"/>
      <c r="H507" s="466"/>
      <c r="I507" s="466"/>
      <c r="R507" s="477"/>
      <c r="S507" s="477"/>
      <c r="U507" s="478"/>
      <c r="V507" s="478"/>
      <c r="AD507" s="477"/>
    </row>
    <row r="508" spans="5:30">
      <c r="E508" s="465"/>
      <c r="F508" s="465"/>
      <c r="H508" s="466"/>
      <c r="I508" s="466"/>
      <c r="R508" s="477"/>
      <c r="S508" s="477"/>
      <c r="U508" s="478"/>
      <c r="V508" s="478"/>
      <c r="AD508" s="477"/>
    </row>
    <row r="509" spans="5:30">
      <c r="E509" s="465"/>
      <c r="F509" s="465"/>
      <c r="H509" s="466"/>
      <c r="I509" s="466"/>
      <c r="R509" s="477"/>
      <c r="S509" s="477"/>
      <c r="U509" s="478"/>
      <c r="V509" s="478"/>
      <c r="AD509" s="477"/>
    </row>
    <row r="510" spans="5:30">
      <c r="E510" s="465"/>
      <c r="F510" s="465"/>
      <c r="H510" s="466"/>
      <c r="I510" s="466"/>
      <c r="R510" s="477"/>
      <c r="S510" s="477"/>
      <c r="U510" s="478"/>
      <c r="V510" s="478"/>
      <c r="AD510" s="477"/>
    </row>
    <row r="511" spans="5:30">
      <c r="E511" s="465"/>
      <c r="F511" s="465"/>
      <c r="H511" s="466"/>
      <c r="I511" s="466"/>
      <c r="R511" s="477"/>
      <c r="S511" s="477"/>
      <c r="U511" s="478"/>
      <c r="V511" s="478"/>
      <c r="AD511" s="477"/>
    </row>
    <row r="512" spans="5:30">
      <c r="E512" s="465"/>
      <c r="F512" s="465"/>
      <c r="H512" s="466"/>
      <c r="I512" s="466"/>
      <c r="R512" s="477"/>
      <c r="S512" s="477"/>
      <c r="U512" s="478"/>
      <c r="V512" s="478"/>
      <c r="AD512" s="477"/>
    </row>
    <row r="513" spans="5:40">
      <c r="E513" s="465"/>
      <c r="F513" s="465"/>
      <c r="H513" s="466"/>
      <c r="I513" s="466"/>
      <c r="R513" s="477"/>
      <c r="S513" s="477"/>
      <c r="U513" s="478"/>
      <c r="V513" s="478"/>
      <c r="AD513" s="477"/>
    </row>
    <row r="514" spans="5:40">
      <c r="E514" s="465"/>
      <c r="F514" s="465"/>
      <c r="H514" s="466"/>
      <c r="I514" s="466"/>
      <c r="R514" s="477"/>
      <c r="S514" s="477"/>
      <c r="U514" s="478"/>
      <c r="V514" s="478"/>
      <c r="AD514" s="477"/>
    </row>
    <row r="515" spans="5:40">
      <c r="E515" s="465"/>
      <c r="F515" s="465"/>
      <c r="H515" s="466"/>
      <c r="I515" s="466"/>
      <c r="R515" s="477"/>
      <c r="S515" s="477"/>
      <c r="U515" s="478"/>
      <c r="V515" s="478"/>
      <c r="AD515" s="477"/>
    </row>
    <row r="516" spans="5:40">
      <c r="E516" s="465"/>
      <c r="F516" s="465"/>
      <c r="H516" s="466"/>
      <c r="I516" s="466"/>
      <c r="R516" s="477"/>
      <c r="S516" s="477"/>
      <c r="U516" s="478"/>
      <c r="V516" s="478"/>
      <c r="AD516" s="477"/>
    </row>
    <row r="517" spans="5:40">
      <c r="E517" s="465"/>
      <c r="F517" s="465"/>
      <c r="H517" s="466"/>
      <c r="I517" s="466"/>
      <c r="R517" s="477"/>
      <c r="S517" s="477"/>
      <c r="U517" s="478"/>
      <c r="V517" s="478"/>
      <c r="AD517" s="477"/>
    </row>
    <row r="518" spans="5:40">
      <c r="E518" s="465"/>
      <c r="F518" s="465"/>
      <c r="H518" s="466"/>
      <c r="I518" s="466"/>
      <c r="R518" s="477"/>
      <c r="S518" s="477"/>
      <c r="U518" s="478"/>
      <c r="V518" s="478"/>
      <c r="AD518" s="477"/>
    </row>
    <row r="519" spans="5:40">
      <c r="E519" s="465"/>
      <c r="F519" s="465"/>
      <c r="H519" s="466"/>
      <c r="I519" s="466"/>
      <c r="R519" s="477"/>
      <c r="S519" s="477"/>
      <c r="U519" s="478"/>
      <c r="V519" s="478"/>
      <c r="AD519" s="477"/>
    </row>
    <row r="520" spans="5:40">
      <c r="E520" s="465"/>
      <c r="F520" s="465"/>
      <c r="H520" s="466"/>
      <c r="I520" s="466"/>
      <c r="R520" s="477"/>
      <c r="S520" s="477"/>
      <c r="U520" s="478"/>
      <c r="V520" s="478"/>
      <c r="AD520" s="477"/>
    </row>
    <row r="521" spans="5:40">
      <c r="E521" s="465"/>
      <c r="F521" s="465"/>
      <c r="H521" s="466"/>
      <c r="I521" s="466"/>
      <c r="R521" s="477"/>
      <c r="S521" s="477"/>
      <c r="U521" s="478"/>
      <c r="V521" s="478"/>
      <c r="AD521" s="477"/>
    </row>
    <row r="522" spans="5:40">
      <c r="E522" s="465"/>
      <c r="F522" s="465"/>
      <c r="H522" s="466"/>
      <c r="I522" s="466"/>
      <c r="R522" s="477"/>
      <c r="S522" s="477"/>
      <c r="U522" s="478"/>
      <c r="V522" s="478"/>
      <c r="AD522" s="477"/>
    </row>
    <row r="523" spans="5:40">
      <c r="E523" s="465"/>
      <c r="F523" s="465"/>
      <c r="G523" s="477"/>
      <c r="H523" s="466"/>
      <c r="I523" s="466"/>
      <c r="J523" s="477"/>
      <c r="K523" s="477"/>
      <c r="N523" s="477"/>
      <c r="O523" s="477"/>
      <c r="P523" s="477"/>
      <c r="Q523" s="477"/>
      <c r="R523" s="477"/>
      <c r="S523" s="477"/>
      <c r="T523" s="477"/>
      <c r="U523" s="477"/>
      <c r="V523" s="477"/>
      <c r="AD523" s="477"/>
      <c r="AE523" s="477"/>
      <c r="AF523" s="477"/>
      <c r="AG523" s="477"/>
      <c r="AH523" s="477"/>
      <c r="AJ523" s="477"/>
      <c r="AK523" s="477"/>
      <c r="AL523" s="477"/>
      <c r="AM523" s="477"/>
      <c r="AN523" s="477"/>
    </row>
    <row r="524" spans="5:40">
      <c r="E524" s="465"/>
      <c r="F524" s="465"/>
      <c r="H524" s="466"/>
      <c r="I524" s="466"/>
      <c r="R524" s="477"/>
      <c r="S524" s="477"/>
      <c r="U524" s="478"/>
      <c r="V524" s="478"/>
      <c r="AD524" s="477"/>
    </row>
    <row r="525" spans="5:40">
      <c r="E525" s="465"/>
      <c r="F525" s="465"/>
      <c r="H525" s="466"/>
      <c r="I525" s="466"/>
      <c r="R525" s="477"/>
      <c r="S525" s="477"/>
      <c r="U525" s="478"/>
      <c r="V525" s="478"/>
      <c r="AD525" s="477"/>
    </row>
    <row r="526" spans="5:40">
      <c r="E526" s="465"/>
      <c r="F526" s="465"/>
      <c r="H526" s="466"/>
      <c r="I526" s="466"/>
      <c r="R526" s="477"/>
      <c r="S526" s="477"/>
      <c r="U526" s="478"/>
      <c r="V526" s="478"/>
      <c r="AD526" s="477"/>
    </row>
    <row r="527" spans="5:40">
      <c r="E527" s="465"/>
      <c r="F527" s="465"/>
      <c r="H527" s="466"/>
      <c r="I527" s="466"/>
      <c r="R527" s="477"/>
      <c r="S527" s="477"/>
      <c r="U527" s="478"/>
      <c r="V527" s="478"/>
      <c r="AD527" s="477"/>
    </row>
    <row r="528" spans="5:40">
      <c r="E528" s="465"/>
      <c r="F528" s="465"/>
      <c r="H528" s="466"/>
      <c r="I528" s="466"/>
      <c r="R528" s="477"/>
      <c r="S528" s="477"/>
      <c r="U528" s="478"/>
      <c r="V528" s="478"/>
      <c r="AD528" s="477"/>
    </row>
    <row r="529" spans="5:30">
      <c r="E529" s="465"/>
      <c r="F529" s="465"/>
      <c r="H529" s="466"/>
      <c r="I529" s="466"/>
      <c r="R529" s="477"/>
      <c r="S529" s="477"/>
      <c r="U529" s="478"/>
      <c r="V529" s="478"/>
      <c r="AD529" s="477"/>
    </row>
    <row r="530" spans="5:30">
      <c r="E530" s="465"/>
      <c r="F530" s="465"/>
      <c r="H530" s="466"/>
      <c r="I530" s="466"/>
      <c r="R530" s="477"/>
      <c r="S530" s="477"/>
      <c r="U530" s="478"/>
      <c r="V530" s="478"/>
      <c r="AD530" s="477"/>
    </row>
    <row r="531" spans="5:30">
      <c r="E531" s="465"/>
      <c r="F531" s="465"/>
      <c r="H531" s="466"/>
      <c r="I531" s="466"/>
      <c r="R531" s="477"/>
      <c r="S531" s="477"/>
      <c r="U531" s="478"/>
      <c r="V531" s="478"/>
      <c r="AD531" s="477"/>
    </row>
    <row r="532" spans="5:30">
      <c r="E532" s="465"/>
      <c r="F532" s="465"/>
      <c r="H532" s="466"/>
      <c r="I532" s="466"/>
      <c r="R532" s="477"/>
      <c r="S532" s="477"/>
      <c r="U532" s="478"/>
      <c r="V532" s="478"/>
      <c r="AD532" s="477"/>
    </row>
    <row r="533" spans="5:30">
      <c r="E533" s="465"/>
      <c r="F533" s="465"/>
      <c r="H533" s="466"/>
      <c r="I533" s="466"/>
      <c r="R533" s="477"/>
      <c r="S533" s="477"/>
      <c r="U533" s="478"/>
      <c r="V533" s="478"/>
      <c r="AD533" s="477"/>
    </row>
    <row r="534" spans="5:30">
      <c r="E534" s="465"/>
      <c r="F534" s="465"/>
      <c r="H534" s="466"/>
      <c r="I534" s="466"/>
      <c r="R534" s="477"/>
      <c r="S534" s="477"/>
      <c r="U534" s="478"/>
      <c r="V534" s="478"/>
      <c r="AD534" s="477"/>
    </row>
    <row r="535" spans="5:30">
      <c r="E535" s="465"/>
      <c r="F535" s="465"/>
      <c r="H535" s="466"/>
      <c r="I535" s="466"/>
      <c r="R535" s="477"/>
      <c r="S535" s="477"/>
      <c r="U535" s="478"/>
      <c r="V535" s="478"/>
      <c r="AD535" s="477"/>
    </row>
    <row r="536" spans="5:30">
      <c r="E536" s="465"/>
      <c r="F536" s="465"/>
      <c r="H536" s="466"/>
      <c r="I536" s="466"/>
      <c r="R536" s="477"/>
      <c r="S536" s="477"/>
      <c r="U536" s="478"/>
      <c r="V536" s="478"/>
      <c r="AD536" s="477"/>
    </row>
    <row r="537" spans="5:30">
      <c r="E537" s="465"/>
      <c r="F537" s="465"/>
      <c r="H537" s="466"/>
      <c r="I537" s="466"/>
      <c r="R537" s="477"/>
      <c r="S537" s="477"/>
      <c r="U537" s="478"/>
      <c r="V537" s="478"/>
      <c r="AD537" s="477"/>
    </row>
    <row r="538" spans="5:30">
      <c r="E538" s="465"/>
      <c r="F538" s="465"/>
      <c r="H538" s="466"/>
      <c r="I538" s="466"/>
      <c r="R538" s="477"/>
      <c r="S538" s="477"/>
      <c r="U538" s="478"/>
      <c r="V538" s="478"/>
      <c r="AD538" s="477"/>
    </row>
    <row r="539" spans="5:30">
      <c r="E539" s="465"/>
      <c r="F539" s="465"/>
      <c r="H539" s="466"/>
      <c r="I539" s="466"/>
      <c r="R539" s="477"/>
      <c r="S539" s="477"/>
      <c r="U539" s="478"/>
      <c r="V539" s="478"/>
      <c r="AD539" s="477"/>
    </row>
    <row r="540" spans="5:30">
      <c r="E540" s="465"/>
      <c r="F540" s="465"/>
      <c r="H540" s="466"/>
      <c r="I540" s="466"/>
      <c r="R540" s="477"/>
      <c r="S540" s="477"/>
      <c r="U540" s="478"/>
      <c r="V540" s="478"/>
      <c r="AD540" s="477"/>
    </row>
    <row r="541" spans="5:30">
      <c r="E541" s="465"/>
      <c r="F541" s="465"/>
      <c r="H541" s="466"/>
      <c r="I541" s="466"/>
      <c r="R541" s="477"/>
      <c r="S541" s="477"/>
      <c r="U541" s="478"/>
      <c r="V541" s="478"/>
      <c r="AD541" s="477"/>
    </row>
    <row r="542" spans="5:30">
      <c r="E542" s="465"/>
      <c r="F542" s="465"/>
      <c r="H542" s="466"/>
      <c r="I542" s="466"/>
      <c r="R542" s="477"/>
      <c r="S542" s="477"/>
      <c r="U542" s="478"/>
      <c r="V542" s="478"/>
      <c r="AD542" s="477"/>
    </row>
    <row r="543" spans="5:30">
      <c r="E543" s="465"/>
      <c r="F543" s="465"/>
      <c r="H543" s="466"/>
      <c r="I543" s="466"/>
      <c r="R543" s="477"/>
      <c r="S543" s="477"/>
      <c r="U543" s="478"/>
      <c r="V543" s="478"/>
      <c r="AD543" s="477"/>
    </row>
    <row r="544" spans="5:30">
      <c r="E544" s="465"/>
      <c r="F544" s="465"/>
      <c r="H544" s="466"/>
      <c r="I544" s="466"/>
      <c r="R544" s="477"/>
      <c r="S544" s="477"/>
      <c r="U544" s="478"/>
      <c r="V544" s="478"/>
      <c r="AD544" s="477"/>
    </row>
    <row r="545" spans="5:30">
      <c r="E545" s="465"/>
      <c r="F545" s="465"/>
      <c r="H545" s="466"/>
      <c r="I545" s="466"/>
      <c r="R545" s="477"/>
      <c r="S545" s="477"/>
      <c r="U545" s="478"/>
      <c r="V545" s="478"/>
      <c r="AD545" s="477"/>
    </row>
    <row r="546" spans="5:30">
      <c r="E546" s="465"/>
      <c r="F546" s="465"/>
      <c r="H546" s="466"/>
      <c r="I546" s="466"/>
      <c r="R546" s="477"/>
      <c r="S546" s="477"/>
      <c r="U546" s="478"/>
      <c r="V546" s="478"/>
      <c r="AD546" s="477"/>
    </row>
    <row r="547" spans="5:30">
      <c r="E547" s="465"/>
      <c r="F547" s="465"/>
      <c r="H547" s="466"/>
      <c r="I547" s="466"/>
      <c r="R547" s="477"/>
      <c r="S547" s="477"/>
      <c r="U547" s="478"/>
      <c r="V547" s="478"/>
      <c r="AD547" s="477"/>
    </row>
    <row r="548" spans="5:30">
      <c r="E548" s="465"/>
      <c r="F548" s="465"/>
      <c r="H548" s="466"/>
      <c r="I548" s="466"/>
      <c r="R548" s="477"/>
      <c r="S548" s="477"/>
      <c r="U548" s="478"/>
      <c r="V548" s="478"/>
      <c r="AD548" s="477"/>
    </row>
    <row r="549" spans="5:30">
      <c r="E549" s="465"/>
      <c r="F549" s="465"/>
      <c r="H549" s="466"/>
      <c r="I549" s="466"/>
      <c r="R549" s="477"/>
      <c r="S549" s="477"/>
      <c r="U549" s="478"/>
      <c r="V549" s="478"/>
      <c r="AD549" s="477"/>
    </row>
    <row r="550" spans="5:30">
      <c r="E550" s="465"/>
      <c r="F550" s="465"/>
      <c r="H550" s="466"/>
      <c r="I550" s="466"/>
      <c r="R550" s="477"/>
      <c r="S550" s="477"/>
      <c r="U550" s="478"/>
      <c r="V550" s="478"/>
      <c r="AD550" s="477"/>
    </row>
    <row r="551" spans="5:30">
      <c r="E551" s="465"/>
      <c r="F551" s="465"/>
      <c r="H551" s="466"/>
      <c r="I551" s="466"/>
      <c r="R551" s="477"/>
      <c r="S551" s="477"/>
      <c r="U551" s="478"/>
      <c r="V551" s="478"/>
      <c r="AD551" s="477"/>
    </row>
    <row r="552" spans="5:30">
      <c r="E552" s="465"/>
      <c r="F552" s="465"/>
      <c r="H552" s="466"/>
      <c r="I552" s="466"/>
      <c r="R552" s="477"/>
      <c r="S552" s="477"/>
      <c r="U552" s="478"/>
      <c r="V552" s="478"/>
      <c r="AD552" s="477"/>
    </row>
    <row r="553" spans="5:30">
      <c r="E553" s="465"/>
      <c r="F553" s="465"/>
      <c r="H553" s="466"/>
      <c r="I553" s="466"/>
      <c r="R553" s="477"/>
      <c r="S553" s="477"/>
      <c r="U553" s="478"/>
      <c r="V553" s="478"/>
      <c r="AD553" s="477"/>
    </row>
    <row r="554" spans="5:30">
      <c r="E554" s="465"/>
      <c r="F554" s="465"/>
      <c r="H554" s="466"/>
      <c r="I554" s="466"/>
      <c r="R554" s="477"/>
      <c r="S554" s="477"/>
      <c r="U554" s="478"/>
      <c r="V554" s="478"/>
      <c r="AD554" s="477"/>
    </row>
    <row r="555" spans="5:30">
      <c r="E555" s="465"/>
      <c r="F555" s="465"/>
      <c r="H555" s="466"/>
      <c r="I555" s="466"/>
      <c r="R555" s="477"/>
      <c r="S555" s="477"/>
      <c r="U555" s="478"/>
      <c r="V555" s="478"/>
      <c r="AD555" s="477"/>
    </row>
    <row r="556" spans="5:30">
      <c r="E556" s="465"/>
      <c r="F556" s="465"/>
      <c r="H556" s="466"/>
      <c r="I556" s="466"/>
      <c r="R556" s="477"/>
      <c r="S556" s="477"/>
      <c r="U556" s="478"/>
      <c r="V556" s="478"/>
      <c r="AD556" s="477"/>
    </row>
    <row r="557" spans="5:30">
      <c r="E557" s="465"/>
      <c r="F557" s="465"/>
      <c r="H557" s="466"/>
      <c r="I557" s="466"/>
      <c r="R557" s="477"/>
      <c r="S557" s="477"/>
      <c r="U557" s="478"/>
      <c r="V557" s="478"/>
      <c r="AD557" s="477"/>
    </row>
    <row r="558" spans="5:30">
      <c r="E558" s="465"/>
      <c r="F558" s="465"/>
      <c r="H558" s="466"/>
      <c r="I558" s="466"/>
      <c r="R558" s="477"/>
      <c r="S558" s="477"/>
      <c r="U558" s="478"/>
      <c r="V558" s="478"/>
      <c r="AD558" s="477"/>
    </row>
    <row r="559" spans="5:30">
      <c r="E559" s="465"/>
      <c r="F559" s="465"/>
      <c r="H559" s="466"/>
      <c r="I559" s="466"/>
      <c r="R559" s="477"/>
      <c r="S559" s="477"/>
      <c r="U559" s="478"/>
      <c r="V559" s="478"/>
      <c r="AD559" s="477"/>
    </row>
    <row r="560" spans="5:30">
      <c r="E560" s="465"/>
      <c r="F560" s="465"/>
      <c r="H560" s="466"/>
      <c r="I560" s="466"/>
      <c r="R560" s="477"/>
      <c r="S560" s="477"/>
      <c r="U560" s="478"/>
      <c r="V560" s="478"/>
      <c r="AD560" s="477"/>
    </row>
    <row r="561" spans="5:30">
      <c r="E561" s="465"/>
      <c r="F561" s="465"/>
      <c r="H561" s="466"/>
      <c r="I561" s="466"/>
      <c r="R561" s="477"/>
      <c r="S561" s="477"/>
      <c r="U561" s="478"/>
      <c r="V561" s="478"/>
      <c r="AD561" s="477"/>
    </row>
    <row r="562" spans="5:30">
      <c r="E562" s="465"/>
      <c r="F562" s="465"/>
      <c r="H562" s="466"/>
      <c r="I562" s="466"/>
      <c r="R562" s="477"/>
      <c r="S562" s="477"/>
      <c r="U562" s="478"/>
      <c r="V562" s="478"/>
      <c r="AD562" s="477"/>
    </row>
    <row r="563" spans="5:30">
      <c r="E563" s="465"/>
      <c r="F563" s="465"/>
      <c r="H563" s="466"/>
      <c r="I563" s="466"/>
      <c r="R563" s="477"/>
      <c r="S563" s="477"/>
      <c r="U563" s="478"/>
      <c r="V563" s="478"/>
      <c r="AD563" s="477"/>
    </row>
    <row r="564" spans="5:30">
      <c r="E564" s="465"/>
      <c r="F564" s="465"/>
      <c r="H564" s="466"/>
      <c r="I564" s="466"/>
      <c r="R564" s="477"/>
      <c r="S564" s="477"/>
      <c r="U564" s="478"/>
      <c r="V564" s="478"/>
      <c r="AD564" s="477"/>
    </row>
    <row r="565" spans="5:30">
      <c r="E565" s="465"/>
      <c r="F565" s="465"/>
      <c r="H565" s="466"/>
      <c r="I565" s="466"/>
      <c r="R565" s="477"/>
      <c r="S565" s="477"/>
      <c r="U565" s="478"/>
      <c r="V565" s="478"/>
      <c r="AD565" s="477"/>
    </row>
    <row r="566" spans="5:30">
      <c r="E566" s="465"/>
      <c r="F566" s="465"/>
      <c r="H566" s="466"/>
      <c r="I566" s="466"/>
      <c r="R566" s="477"/>
      <c r="S566" s="477"/>
      <c r="U566" s="478"/>
      <c r="V566" s="478"/>
      <c r="AD566" s="477"/>
    </row>
    <row r="567" spans="5:30">
      <c r="E567" s="465"/>
      <c r="F567" s="465"/>
      <c r="H567" s="466"/>
      <c r="I567" s="466"/>
      <c r="R567" s="477"/>
      <c r="S567" s="477"/>
      <c r="U567" s="478"/>
      <c r="V567" s="478"/>
      <c r="AD567" s="477"/>
    </row>
    <row r="568" spans="5:30">
      <c r="E568" s="465"/>
      <c r="F568" s="465"/>
      <c r="H568" s="466"/>
      <c r="I568" s="466"/>
      <c r="R568" s="477"/>
      <c r="S568" s="477"/>
      <c r="U568" s="478"/>
      <c r="V568" s="478"/>
      <c r="AD568" s="477"/>
    </row>
    <row r="569" spans="5:30">
      <c r="E569" s="465"/>
      <c r="F569" s="465"/>
      <c r="H569" s="466"/>
      <c r="I569" s="466"/>
      <c r="R569" s="477"/>
      <c r="S569" s="477"/>
      <c r="U569" s="478"/>
      <c r="V569" s="478"/>
      <c r="AD569" s="477"/>
    </row>
    <row r="570" spans="5:30">
      <c r="E570" s="465"/>
      <c r="F570" s="465"/>
      <c r="H570" s="466"/>
      <c r="I570" s="466"/>
      <c r="R570" s="477"/>
      <c r="S570" s="477"/>
      <c r="U570" s="478"/>
      <c r="V570" s="478"/>
      <c r="AD570" s="477"/>
    </row>
    <row r="571" spans="5:30">
      <c r="E571" s="465"/>
      <c r="F571" s="465"/>
      <c r="H571" s="466"/>
      <c r="I571" s="466"/>
      <c r="R571" s="477"/>
      <c r="S571" s="477"/>
      <c r="U571" s="478"/>
      <c r="V571" s="478"/>
      <c r="AD571" s="477"/>
    </row>
    <row r="572" spans="5:30">
      <c r="E572" s="465"/>
      <c r="F572" s="465"/>
      <c r="H572" s="466"/>
      <c r="I572" s="466"/>
      <c r="R572" s="477"/>
      <c r="S572" s="477"/>
      <c r="U572" s="478"/>
      <c r="V572" s="478"/>
      <c r="AD572" s="477"/>
    </row>
    <row r="573" spans="5:30">
      <c r="E573" s="465"/>
      <c r="F573" s="465"/>
      <c r="H573" s="466"/>
      <c r="I573" s="466"/>
      <c r="R573" s="477"/>
      <c r="S573" s="477"/>
      <c r="U573" s="478"/>
      <c r="V573" s="478"/>
      <c r="AD573" s="477"/>
    </row>
    <row r="574" spans="5:30">
      <c r="E574" s="465"/>
      <c r="F574" s="465"/>
      <c r="H574" s="466"/>
      <c r="I574" s="466"/>
      <c r="R574" s="477"/>
      <c r="S574" s="477"/>
      <c r="U574" s="478"/>
      <c r="V574" s="478"/>
      <c r="AD574" s="477"/>
    </row>
    <row r="575" spans="5:30">
      <c r="E575" s="465"/>
      <c r="F575" s="465"/>
      <c r="H575" s="466"/>
      <c r="I575" s="466"/>
      <c r="R575" s="477"/>
      <c r="S575" s="477"/>
      <c r="U575" s="478"/>
      <c r="V575" s="478"/>
      <c r="AD575" s="477"/>
    </row>
    <row r="576" spans="5:30">
      <c r="E576" s="465"/>
      <c r="F576" s="465"/>
      <c r="H576" s="466"/>
      <c r="I576" s="466"/>
      <c r="R576" s="477"/>
      <c r="S576" s="477"/>
      <c r="U576" s="478"/>
      <c r="V576" s="478"/>
      <c r="AD576" s="477"/>
    </row>
    <row r="577" spans="5:30">
      <c r="E577" s="465"/>
      <c r="F577" s="465"/>
      <c r="H577" s="466"/>
      <c r="I577" s="466"/>
      <c r="R577" s="477"/>
      <c r="S577" s="477"/>
      <c r="U577" s="478"/>
      <c r="V577" s="478"/>
      <c r="AD577" s="477"/>
    </row>
    <row r="578" spans="5:30">
      <c r="E578" s="465"/>
      <c r="F578" s="465"/>
      <c r="H578" s="466"/>
      <c r="I578" s="466"/>
      <c r="R578" s="477"/>
      <c r="S578" s="477"/>
      <c r="U578" s="478"/>
      <c r="V578" s="478"/>
      <c r="AD578" s="477"/>
    </row>
    <row r="579" spans="5:30">
      <c r="E579" s="465"/>
      <c r="F579" s="465"/>
      <c r="H579" s="466"/>
      <c r="I579" s="466"/>
      <c r="R579" s="477"/>
      <c r="S579" s="477"/>
      <c r="U579" s="478"/>
      <c r="V579" s="478"/>
      <c r="AD579" s="477"/>
    </row>
    <row r="580" spans="5:30">
      <c r="E580" s="465"/>
      <c r="F580" s="465"/>
      <c r="H580" s="466"/>
      <c r="I580" s="466"/>
      <c r="R580" s="477"/>
      <c r="S580" s="477"/>
      <c r="U580" s="478"/>
      <c r="V580" s="478"/>
      <c r="AD580" s="477"/>
    </row>
    <row r="581" spans="5:30">
      <c r="E581" s="465"/>
      <c r="F581" s="465"/>
      <c r="H581" s="466"/>
      <c r="I581" s="466"/>
      <c r="R581" s="477"/>
      <c r="S581" s="477"/>
      <c r="U581" s="478"/>
      <c r="V581" s="478"/>
      <c r="AD581" s="477"/>
    </row>
    <row r="582" spans="5:30">
      <c r="E582" s="465"/>
      <c r="F582" s="465"/>
      <c r="H582" s="466"/>
      <c r="I582" s="466"/>
      <c r="R582" s="477"/>
      <c r="S582" s="477"/>
      <c r="U582" s="478"/>
      <c r="V582" s="478"/>
      <c r="AD582" s="477"/>
    </row>
    <row r="583" spans="5:30">
      <c r="E583" s="465"/>
      <c r="F583" s="465"/>
      <c r="H583" s="466"/>
      <c r="I583" s="466"/>
      <c r="R583" s="477"/>
      <c r="S583" s="477"/>
      <c r="U583" s="478"/>
      <c r="V583" s="478"/>
      <c r="AD583" s="477"/>
    </row>
    <row r="584" spans="5:30">
      <c r="E584" s="465"/>
      <c r="F584" s="465"/>
      <c r="H584" s="466"/>
      <c r="I584" s="466"/>
      <c r="R584" s="477"/>
      <c r="S584" s="477"/>
      <c r="U584" s="478"/>
      <c r="V584" s="478"/>
      <c r="AD584" s="477"/>
    </row>
    <row r="585" spans="5:30">
      <c r="E585" s="465"/>
      <c r="F585" s="465"/>
      <c r="H585" s="466"/>
      <c r="I585" s="466"/>
      <c r="R585" s="477"/>
      <c r="S585" s="477"/>
      <c r="U585" s="478"/>
      <c r="V585" s="478"/>
      <c r="AD585" s="477"/>
    </row>
    <row r="586" spans="5:30">
      <c r="E586" s="465"/>
      <c r="F586" s="465"/>
      <c r="H586" s="466"/>
      <c r="I586" s="466"/>
      <c r="R586" s="477"/>
      <c r="S586" s="477"/>
      <c r="U586" s="478"/>
      <c r="V586" s="478"/>
      <c r="AD586" s="477"/>
    </row>
    <row r="587" spans="5:30">
      <c r="E587" s="465"/>
      <c r="F587" s="465"/>
      <c r="H587" s="466"/>
      <c r="I587" s="466"/>
      <c r="R587" s="477"/>
      <c r="S587" s="477"/>
      <c r="U587" s="478"/>
      <c r="V587" s="478"/>
      <c r="AD587" s="477"/>
    </row>
    <row r="588" spans="5:30">
      <c r="E588" s="465"/>
      <c r="F588" s="465"/>
      <c r="H588" s="466"/>
      <c r="I588" s="466"/>
      <c r="R588" s="477"/>
      <c r="S588" s="477"/>
      <c r="U588" s="478"/>
      <c r="V588" s="478"/>
      <c r="AD588" s="477"/>
    </row>
    <row r="589" spans="5:30">
      <c r="E589" s="465"/>
      <c r="F589" s="465"/>
      <c r="H589" s="466"/>
      <c r="I589" s="466"/>
      <c r="R589" s="477"/>
      <c r="S589" s="477"/>
      <c r="U589" s="478"/>
      <c r="V589" s="478"/>
      <c r="AD589" s="477"/>
    </row>
    <row r="590" spans="5:30">
      <c r="E590" s="465"/>
      <c r="F590" s="465"/>
      <c r="H590" s="466"/>
      <c r="I590" s="466"/>
      <c r="R590" s="477"/>
      <c r="S590" s="477"/>
      <c r="U590" s="478"/>
      <c r="V590" s="478"/>
      <c r="AD590" s="477"/>
    </row>
    <row r="591" spans="5:30">
      <c r="E591" s="465"/>
      <c r="F591" s="465"/>
      <c r="H591" s="466"/>
      <c r="I591" s="466"/>
      <c r="R591" s="477"/>
      <c r="S591" s="477"/>
      <c r="U591" s="478"/>
      <c r="V591" s="478"/>
      <c r="AD591" s="477"/>
    </row>
    <row r="592" spans="5:30">
      <c r="E592" s="465"/>
      <c r="F592" s="465"/>
      <c r="H592" s="466"/>
      <c r="I592" s="466"/>
      <c r="R592" s="477"/>
      <c r="S592" s="477"/>
      <c r="U592" s="478"/>
      <c r="V592" s="478"/>
      <c r="AD592" s="477"/>
    </row>
    <row r="593" spans="5:30">
      <c r="E593" s="465"/>
      <c r="F593" s="465"/>
      <c r="H593" s="466"/>
      <c r="I593" s="466"/>
      <c r="R593" s="477"/>
      <c r="S593" s="477"/>
      <c r="U593" s="478"/>
      <c r="V593" s="478"/>
      <c r="AD593" s="477"/>
    </row>
    <row r="594" spans="5:30">
      <c r="E594" s="465"/>
      <c r="F594" s="465"/>
      <c r="H594" s="466"/>
      <c r="I594" s="466"/>
      <c r="R594" s="477"/>
      <c r="S594" s="477"/>
      <c r="U594" s="478"/>
      <c r="V594" s="478"/>
      <c r="AD594" s="477"/>
    </row>
    <row r="595" spans="5:30">
      <c r="E595" s="465"/>
      <c r="F595" s="465"/>
      <c r="H595" s="466"/>
      <c r="I595" s="466"/>
      <c r="R595" s="477"/>
      <c r="S595" s="477"/>
      <c r="U595" s="478"/>
      <c r="V595" s="478"/>
      <c r="AD595" s="477"/>
    </row>
    <row r="596" spans="5:30">
      <c r="E596" s="465"/>
      <c r="F596" s="465"/>
      <c r="H596" s="466"/>
      <c r="I596" s="466"/>
      <c r="R596" s="477"/>
      <c r="S596" s="477"/>
      <c r="U596" s="478"/>
      <c r="V596" s="478"/>
      <c r="AD596" s="477"/>
    </row>
    <row r="597" spans="5:30">
      <c r="E597" s="465"/>
      <c r="F597" s="465"/>
      <c r="H597" s="466"/>
      <c r="I597" s="466"/>
      <c r="R597" s="477"/>
      <c r="S597" s="477"/>
      <c r="U597" s="478"/>
      <c r="V597" s="478"/>
      <c r="AD597" s="477"/>
    </row>
    <row r="598" spans="5:30">
      <c r="E598" s="465"/>
      <c r="F598" s="465"/>
      <c r="H598" s="466"/>
      <c r="I598" s="466"/>
      <c r="R598" s="477"/>
      <c r="S598" s="477"/>
      <c r="U598" s="478"/>
      <c r="V598" s="478"/>
      <c r="AD598" s="477"/>
    </row>
    <row r="599" spans="5:30">
      <c r="E599" s="465"/>
      <c r="F599" s="465"/>
      <c r="H599" s="466"/>
      <c r="I599" s="466"/>
      <c r="R599" s="477"/>
      <c r="S599" s="477"/>
      <c r="U599" s="478"/>
      <c r="V599" s="478"/>
      <c r="AD599" s="477"/>
    </row>
    <row r="600" spans="5:30">
      <c r="E600" s="465"/>
      <c r="F600" s="465"/>
      <c r="H600" s="466"/>
      <c r="I600" s="466"/>
      <c r="R600" s="477"/>
      <c r="S600" s="477"/>
      <c r="U600" s="478"/>
      <c r="V600" s="478"/>
      <c r="AD600" s="477"/>
    </row>
    <row r="601" spans="5:30">
      <c r="E601" s="465"/>
      <c r="F601" s="465"/>
      <c r="H601" s="466"/>
      <c r="I601" s="466"/>
      <c r="R601" s="477"/>
      <c r="S601" s="477"/>
      <c r="U601" s="478"/>
      <c r="V601" s="478"/>
      <c r="AD601" s="477"/>
    </row>
    <row r="602" spans="5:30">
      <c r="E602" s="465"/>
      <c r="F602" s="465"/>
      <c r="H602" s="466"/>
      <c r="I602" s="466"/>
      <c r="R602" s="477"/>
      <c r="S602" s="477"/>
      <c r="U602" s="478"/>
      <c r="V602" s="478"/>
      <c r="AD602" s="477"/>
    </row>
    <row r="603" spans="5:30">
      <c r="E603" s="465"/>
      <c r="F603" s="465"/>
      <c r="H603" s="466"/>
      <c r="I603" s="466"/>
      <c r="R603" s="477"/>
      <c r="S603" s="477"/>
      <c r="U603" s="478"/>
      <c r="V603" s="478"/>
      <c r="AD603" s="477"/>
    </row>
    <row r="604" spans="5:30">
      <c r="E604" s="465"/>
      <c r="F604" s="465"/>
      <c r="H604" s="466"/>
      <c r="I604" s="466"/>
      <c r="R604" s="477"/>
      <c r="S604" s="477"/>
      <c r="U604" s="478"/>
      <c r="V604" s="478"/>
      <c r="AD604" s="477"/>
    </row>
    <row r="605" spans="5:30">
      <c r="E605" s="465"/>
      <c r="F605" s="465"/>
      <c r="H605" s="466"/>
      <c r="I605" s="466"/>
      <c r="R605" s="477"/>
      <c r="S605" s="477"/>
      <c r="U605" s="478"/>
      <c r="V605" s="478"/>
      <c r="AD605" s="477"/>
    </row>
    <row r="606" spans="5:30">
      <c r="E606" s="465"/>
      <c r="F606" s="465"/>
      <c r="H606" s="466"/>
      <c r="I606" s="466"/>
      <c r="R606" s="477"/>
      <c r="S606" s="477"/>
      <c r="U606" s="478"/>
      <c r="V606" s="478"/>
      <c r="AD606" s="477"/>
    </row>
    <row r="607" spans="5:30">
      <c r="E607" s="465"/>
      <c r="F607" s="465"/>
      <c r="H607" s="466"/>
      <c r="I607" s="466"/>
      <c r="R607" s="477"/>
      <c r="S607" s="477"/>
      <c r="U607" s="478"/>
      <c r="V607" s="478"/>
      <c r="AD607" s="477"/>
    </row>
    <row r="608" spans="5:30">
      <c r="E608" s="465"/>
      <c r="F608" s="465"/>
      <c r="H608" s="466"/>
      <c r="I608" s="466"/>
      <c r="R608" s="477"/>
      <c r="S608" s="477"/>
      <c r="U608" s="478"/>
      <c r="V608" s="478"/>
      <c r="AD608" s="477"/>
    </row>
    <row r="609" spans="5:30">
      <c r="E609" s="465"/>
      <c r="F609" s="465"/>
      <c r="H609" s="466"/>
      <c r="I609" s="466"/>
      <c r="R609" s="477"/>
      <c r="S609" s="477"/>
      <c r="U609" s="478"/>
      <c r="V609" s="478"/>
      <c r="AD609" s="477"/>
    </row>
    <row r="610" spans="5:30">
      <c r="E610" s="465"/>
      <c r="F610" s="465"/>
      <c r="H610" s="466"/>
      <c r="I610" s="466"/>
      <c r="R610" s="477"/>
      <c r="S610" s="477"/>
      <c r="U610" s="478"/>
      <c r="V610" s="478"/>
      <c r="AD610" s="477"/>
    </row>
    <row r="611" spans="5:30">
      <c r="E611" s="465"/>
      <c r="F611" s="465"/>
      <c r="H611" s="466"/>
      <c r="I611" s="466"/>
      <c r="R611" s="477"/>
      <c r="S611" s="477"/>
      <c r="U611" s="478"/>
      <c r="V611" s="478"/>
      <c r="AD611" s="477"/>
    </row>
    <row r="612" spans="5:30">
      <c r="E612" s="465"/>
      <c r="F612" s="465"/>
      <c r="H612" s="466"/>
      <c r="I612" s="466"/>
      <c r="R612" s="477"/>
      <c r="S612" s="477"/>
      <c r="U612" s="478"/>
      <c r="V612" s="478"/>
      <c r="AD612" s="477"/>
    </row>
    <row r="613" spans="5:30">
      <c r="E613" s="465"/>
      <c r="F613" s="465"/>
      <c r="H613" s="466"/>
      <c r="I613" s="466"/>
      <c r="R613" s="477"/>
      <c r="S613" s="477"/>
      <c r="U613" s="478"/>
      <c r="V613" s="478"/>
      <c r="AD613" s="477"/>
    </row>
    <row r="614" spans="5:30">
      <c r="E614" s="465"/>
      <c r="F614" s="465"/>
      <c r="H614" s="466"/>
      <c r="I614" s="466"/>
      <c r="R614" s="477"/>
      <c r="S614" s="477"/>
      <c r="U614" s="478"/>
      <c r="V614" s="478"/>
      <c r="AD614" s="477"/>
    </row>
    <row r="615" spans="5:30">
      <c r="E615" s="465"/>
      <c r="F615" s="465"/>
      <c r="H615" s="466"/>
      <c r="I615" s="466"/>
      <c r="R615" s="477"/>
      <c r="S615" s="477"/>
      <c r="U615" s="478"/>
      <c r="V615" s="478"/>
      <c r="AD615" s="477"/>
    </row>
    <row r="616" spans="5:30">
      <c r="E616" s="465"/>
      <c r="F616" s="465"/>
      <c r="H616" s="466"/>
      <c r="I616" s="466"/>
      <c r="R616" s="477"/>
      <c r="S616" s="477"/>
      <c r="U616" s="478"/>
      <c r="V616" s="478"/>
      <c r="AD616" s="477"/>
    </row>
    <row r="617" spans="5:30">
      <c r="E617" s="465"/>
      <c r="F617" s="465"/>
      <c r="H617" s="466"/>
      <c r="I617" s="466"/>
      <c r="R617" s="477"/>
      <c r="S617" s="477"/>
      <c r="U617" s="478"/>
      <c r="V617" s="478"/>
      <c r="AD617" s="477"/>
    </row>
    <row r="618" spans="5:30">
      <c r="E618" s="465"/>
      <c r="F618" s="465"/>
      <c r="H618" s="466"/>
      <c r="I618" s="466"/>
      <c r="R618" s="477"/>
      <c r="S618" s="477"/>
      <c r="U618" s="478"/>
      <c r="V618" s="478"/>
      <c r="AD618" s="477"/>
    </row>
    <row r="619" spans="5:30">
      <c r="E619" s="465"/>
      <c r="F619" s="465"/>
      <c r="H619" s="466"/>
      <c r="I619" s="466"/>
      <c r="R619" s="477"/>
      <c r="S619" s="477"/>
      <c r="U619" s="478"/>
      <c r="V619" s="478"/>
      <c r="AD619" s="477"/>
    </row>
    <row r="620" spans="5:30">
      <c r="E620" s="465"/>
      <c r="F620" s="465"/>
      <c r="H620" s="466"/>
      <c r="I620" s="466"/>
      <c r="R620" s="477"/>
      <c r="S620" s="477"/>
      <c r="U620" s="478"/>
      <c r="V620" s="478"/>
      <c r="AD620" s="477"/>
    </row>
    <row r="621" spans="5:30">
      <c r="E621" s="465"/>
      <c r="F621" s="465"/>
      <c r="H621" s="466"/>
      <c r="I621" s="466"/>
      <c r="R621" s="477"/>
      <c r="S621" s="477"/>
      <c r="U621" s="478"/>
      <c r="V621" s="478"/>
      <c r="AD621" s="477"/>
    </row>
    <row r="622" spans="5:30">
      <c r="E622" s="465"/>
      <c r="F622" s="465"/>
      <c r="H622" s="466"/>
      <c r="I622" s="466"/>
      <c r="R622" s="477"/>
      <c r="S622" s="477"/>
      <c r="U622" s="478"/>
      <c r="V622" s="478"/>
      <c r="AD622" s="477"/>
    </row>
    <row r="623" spans="5:30">
      <c r="E623" s="465"/>
      <c r="F623" s="465"/>
      <c r="H623" s="466"/>
      <c r="I623" s="466"/>
      <c r="R623" s="477"/>
      <c r="S623" s="477"/>
      <c r="U623" s="478"/>
      <c r="V623" s="478"/>
      <c r="AD623" s="477"/>
    </row>
    <row r="624" spans="5:30">
      <c r="E624" s="465"/>
      <c r="F624" s="465"/>
      <c r="H624" s="466"/>
      <c r="I624" s="466"/>
      <c r="R624" s="477"/>
      <c r="S624" s="477"/>
      <c r="U624" s="478"/>
      <c r="V624" s="478"/>
      <c r="AD624" s="477"/>
    </row>
    <row r="625" spans="5:30">
      <c r="E625" s="465"/>
      <c r="F625" s="465"/>
      <c r="H625" s="466"/>
      <c r="I625" s="466"/>
      <c r="R625" s="477"/>
      <c r="S625" s="477"/>
      <c r="U625" s="478"/>
      <c r="V625" s="478"/>
      <c r="AD625" s="477"/>
    </row>
    <row r="626" spans="5:30">
      <c r="E626" s="465"/>
      <c r="F626" s="465"/>
      <c r="H626" s="466"/>
      <c r="I626" s="466"/>
      <c r="R626" s="477"/>
      <c r="S626" s="477"/>
      <c r="U626" s="478"/>
      <c r="V626" s="478"/>
      <c r="AD626" s="477"/>
    </row>
    <row r="627" spans="5:30">
      <c r="E627" s="465"/>
      <c r="F627" s="465"/>
      <c r="H627" s="466"/>
      <c r="I627" s="466"/>
      <c r="R627" s="477"/>
      <c r="S627" s="477"/>
      <c r="U627" s="478"/>
      <c r="V627" s="478"/>
      <c r="AD627" s="477"/>
    </row>
    <row r="628" spans="5:30">
      <c r="E628" s="465"/>
      <c r="F628" s="465"/>
      <c r="H628" s="466"/>
      <c r="I628" s="466"/>
      <c r="R628" s="477"/>
      <c r="S628" s="477"/>
      <c r="U628" s="478"/>
      <c r="V628" s="478"/>
      <c r="AD628" s="477"/>
    </row>
    <row r="629" spans="5:30">
      <c r="E629" s="465"/>
      <c r="F629" s="465"/>
      <c r="H629" s="466"/>
      <c r="I629" s="466"/>
      <c r="R629" s="477"/>
      <c r="S629" s="477"/>
      <c r="U629" s="478"/>
      <c r="V629" s="478"/>
      <c r="AD629" s="477"/>
    </row>
    <row r="630" spans="5:30">
      <c r="E630" s="465"/>
      <c r="F630" s="465"/>
      <c r="H630" s="466"/>
      <c r="I630" s="466"/>
      <c r="R630" s="477"/>
      <c r="S630" s="477"/>
      <c r="U630" s="478"/>
      <c r="V630" s="478"/>
      <c r="AD630" s="477"/>
    </row>
    <row r="631" spans="5:30">
      <c r="E631" s="465"/>
      <c r="F631" s="465"/>
      <c r="H631" s="466"/>
      <c r="I631" s="466"/>
      <c r="R631" s="477"/>
      <c r="S631" s="477"/>
      <c r="U631" s="478"/>
      <c r="V631" s="478"/>
      <c r="AD631" s="477"/>
    </row>
    <row r="632" spans="5:30">
      <c r="E632" s="465"/>
      <c r="F632" s="465"/>
      <c r="H632" s="466"/>
      <c r="I632" s="466"/>
      <c r="R632" s="477"/>
      <c r="S632" s="477"/>
      <c r="U632" s="478"/>
      <c r="V632" s="478"/>
      <c r="AD632" s="477"/>
    </row>
    <row r="633" spans="5:30">
      <c r="E633" s="465"/>
      <c r="F633" s="465"/>
      <c r="H633" s="466"/>
      <c r="I633" s="466"/>
      <c r="R633" s="477"/>
      <c r="S633" s="477"/>
      <c r="U633" s="478"/>
      <c r="V633" s="478"/>
      <c r="AD633" s="477"/>
    </row>
    <row r="634" spans="5:30">
      <c r="E634" s="465"/>
      <c r="F634" s="465"/>
      <c r="H634" s="466"/>
      <c r="I634" s="466"/>
      <c r="R634" s="477"/>
      <c r="S634" s="477"/>
      <c r="U634" s="478"/>
      <c r="V634" s="478"/>
      <c r="AD634" s="477"/>
    </row>
    <row r="635" spans="5:30">
      <c r="E635" s="465"/>
      <c r="F635" s="465"/>
      <c r="H635" s="466"/>
      <c r="I635" s="466"/>
      <c r="R635" s="477"/>
      <c r="S635" s="477"/>
      <c r="U635" s="478"/>
      <c r="V635" s="478"/>
      <c r="AD635" s="477"/>
    </row>
    <row r="636" spans="5:30">
      <c r="E636" s="465"/>
      <c r="F636" s="465"/>
      <c r="H636" s="466"/>
      <c r="I636" s="466"/>
      <c r="R636" s="477"/>
      <c r="S636" s="477"/>
      <c r="U636" s="478"/>
      <c r="V636" s="478"/>
      <c r="AD636" s="477"/>
    </row>
    <row r="637" spans="5:30">
      <c r="E637" s="465"/>
      <c r="F637" s="465"/>
      <c r="H637" s="466"/>
      <c r="I637" s="466"/>
      <c r="R637" s="477"/>
      <c r="S637" s="477"/>
      <c r="U637" s="478"/>
      <c r="V637" s="478"/>
    </row>
    <row r="638" spans="5:30">
      <c r="E638" s="465"/>
      <c r="F638" s="465"/>
      <c r="H638" s="466"/>
      <c r="I638" s="466"/>
      <c r="R638" s="477"/>
      <c r="S638" s="477"/>
      <c r="U638" s="478"/>
      <c r="V638" s="478"/>
      <c r="AD638" s="477"/>
    </row>
    <row r="639" spans="5:30">
      <c r="E639" s="465"/>
      <c r="F639" s="465"/>
      <c r="H639" s="466"/>
      <c r="I639" s="466"/>
      <c r="R639" s="477"/>
      <c r="S639" s="477"/>
      <c r="U639" s="478"/>
      <c r="V639" s="478"/>
      <c r="AD639" s="477"/>
    </row>
    <row r="640" spans="5:30">
      <c r="E640" s="465"/>
      <c r="F640" s="465"/>
      <c r="H640" s="466"/>
      <c r="I640" s="466"/>
      <c r="R640" s="477"/>
      <c r="S640" s="477"/>
      <c r="U640" s="478"/>
      <c r="V640" s="478"/>
      <c r="AD640" s="477"/>
    </row>
    <row r="641" spans="5:30">
      <c r="E641" s="465"/>
      <c r="F641" s="465"/>
      <c r="H641" s="466"/>
      <c r="I641" s="466"/>
      <c r="R641" s="477"/>
      <c r="S641" s="477"/>
      <c r="U641" s="478"/>
      <c r="V641" s="478"/>
      <c r="AD641" s="477"/>
    </row>
    <row r="642" spans="5:30">
      <c r="E642" s="465"/>
      <c r="F642" s="465"/>
      <c r="H642" s="466"/>
      <c r="I642" s="466"/>
      <c r="R642" s="477"/>
      <c r="S642" s="477"/>
      <c r="U642" s="478"/>
      <c r="V642" s="478"/>
      <c r="AD642" s="477"/>
    </row>
    <row r="643" spans="5:30">
      <c r="E643" s="465"/>
      <c r="F643" s="465"/>
      <c r="H643" s="466"/>
      <c r="I643" s="466"/>
      <c r="R643" s="477"/>
      <c r="S643" s="477"/>
      <c r="U643" s="478"/>
      <c r="V643" s="478"/>
      <c r="AD643" s="477"/>
    </row>
    <row r="644" spans="5:30">
      <c r="E644" s="465"/>
      <c r="F644" s="465"/>
      <c r="H644" s="466"/>
      <c r="I644" s="466"/>
      <c r="R644" s="477"/>
      <c r="S644" s="477"/>
      <c r="U644" s="478"/>
      <c r="V644" s="478"/>
      <c r="AD644" s="477"/>
    </row>
    <row r="645" spans="5:30">
      <c r="E645" s="465"/>
      <c r="F645" s="465"/>
      <c r="H645" s="466"/>
      <c r="I645" s="466"/>
      <c r="R645" s="477"/>
      <c r="S645" s="477"/>
      <c r="U645" s="478"/>
      <c r="V645" s="478"/>
      <c r="AD645" s="477"/>
    </row>
    <row r="646" spans="5:30">
      <c r="E646" s="465"/>
      <c r="F646" s="465"/>
      <c r="H646" s="466"/>
      <c r="I646" s="466"/>
      <c r="R646" s="477"/>
      <c r="S646" s="477"/>
      <c r="U646" s="478"/>
      <c r="V646" s="478"/>
      <c r="AD646" s="477"/>
    </row>
    <row r="647" spans="5:30">
      <c r="E647" s="465"/>
      <c r="F647" s="465"/>
      <c r="H647" s="466"/>
      <c r="I647" s="466"/>
      <c r="R647" s="477"/>
      <c r="S647" s="477"/>
      <c r="U647" s="478"/>
      <c r="V647" s="478"/>
      <c r="AD647" s="477"/>
    </row>
    <row r="648" spans="5:30">
      <c r="E648" s="465"/>
      <c r="F648" s="465"/>
      <c r="H648" s="466"/>
      <c r="I648" s="466"/>
      <c r="R648" s="477"/>
      <c r="S648" s="477"/>
      <c r="U648" s="478"/>
      <c r="V648" s="478"/>
      <c r="AD648" s="477"/>
    </row>
    <row r="649" spans="5:30">
      <c r="E649" s="465"/>
      <c r="F649" s="465"/>
      <c r="H649" s="466"/>
      <c r="I649" s="466"/>
      <c r="R649" s="477"/>
      <c r="S649" s="477"/>
      <c r="U649" s="478"/>
      <c r="V649" s="478"/>
      <c r="AD649" s="477"/>
    </row>
    <row r="650" spans="5:30">
      <c r="E650" s="465"/>
      <c r="F650" s="465"/>
      <c r="H650" s="466"/>
      <c r="I650" s="466"/>
      <c r="R650" s="477"/>
      <c r="S650" s="477"/>
      <c r="U650" s="478"/>
      <c r="V650" s="478"/>
      <c r="AD650" s="477"/>
    </row>
    <row r="651" spans="5:30">
      <c r="E651" s="465"/>
      <c r="F651" s="465"/>
      <c r="H651" s="466"/>
      <c r="I651" s="466"/>
      <c r="R651" s="477"/>
      <c r="S651" s="477"/>
      <c r="U651" s="478"/>
      <c r="V651" s="478"/>
      <c r="AD651" s="477"/>
    </row>
    <row r="652" spans="5:30">
      <c r="E652" s="465"/>
      <c r="F652" s="465"/>
      <c r="H652" s="466"/>
      <c r="I652" s="466"/>
      <c r="R652" s="477"/>
      <c r="S652" s="477"/>
      <c r="U652" s="478"/>
      <c r="V652" s="478"/>
      <c r="AD652" s="477"/>
    </row>
    <row r="653" spans="5:30">
      <c r="E653" s="465"/>
      <c r="F653" s="465"/>
      <c r="H653" s="466"/>
      <c r="I653" s="466"/>
      <c r="R653" s="477"/>
      <c r="S653" s="477"/>
      <c r="U653" s="478"/>
      <c r="V653" s="478"/>
      <c r="AD653" s="477"/>
    </row>
    <row r="654" spans="5:30">
      <c r="E654" s="465"/>
      <c r="F654" s="465"/>
      <c r="H654" s="466"/>
      <c r="I654" s="466"/>
      <c r="R654" s="477"/>
      <c r="S654" s="477"/>
      <c r="U654" s="478"/>
      <c r="V654" s="478"/>
      <c r="AD654" s="477"/>
    </row>
    <row r="655" spans="5:30">
      <c r="E655" s="465"/>
      <c r="F655" s="465"/>
      <c r="H655" s="466"/>
      <c r="I655" s="466"/>
      <c r="R655" s="477"/>
      <c r="S655" s="477"/>
      <c r="U655" s="478"/>
      <c r="V655" s="478"/>
      <c r="AD655" s="477"/>
    </row>
    <row r="656" spans="5:30">
      <c r="E656" s="465"/>
      <c r="F656" s="465"/>
      <c r="H656" s="466"/>
      <c r="I656" s="466"/>
      <c r="R656" s="477"/>
      <c r="S656" s="477"/>
      <c r="U656" s="478"/>
      <c r="V656" s="478"/>
      <c r="AD656" s="477"/>
    </row>
    <row r="657" spans="5:30">
      <c r="E657" s="465"/>
      <c r="F657" s="465"/>
      <c r="H657" s="466"/>
      <c r="I657" s="466"/>
      <c r="R657" s="477"/>
      <c r="S657" s="477"/>
      <c r="U657" s="478"/>
      <c r="V657" s="478"/>
      <c r="AD657" s="477"/>
    </row>
    <row r="658" spans="5:30">
      <c r="E658" s="465"/>
      <c r="F658" s="465"/>
      <c r="H658" s="466"/>
      <c r="I658" s="466"/>
      <c r="R658" s="477"/>
      <c r="S658" s="477"/>
      <c r="U658" s="478"/>
      <c r="V658" s="478"/>
      <c r="AD658" s="477"/>
    </row>
    <row r="659" spans="5:30">
      <c r="E659" s="465"/>
      <c r="F659" s="465"/>
      <c r="H659" s="466"/>
      <c r="I659" s="466"/>
      <c r="R659" s="477"/>
      <c r="S659" s="477"/>
      <c r="U659" s="478"/>
      <c r="V659" s="478"/>
      <c r="AD659" s="477"/>
    </row>
    <row r="660" spans="5:30">
      <c r="E660" s="465"/>
      <c r="F660" s="465"/>
      <c r="H660" s="466"/>
      <c r="I660" s="466"/>
      <c r="R660" s="477"/>
      <c r="S660" s="477"/>
      <c r="U660" s="478"/>
      <c r="V660" s="478"/>
      <c r="AD660" s="477"/>
    </row>
    <row r="661" spans="5:30">
      <c r="E661" s="465"/>
      <c r="F661" s="465"/>
      <c r="H661" s="466"/>
      <c r="I661" s="466"/>
      <c r="R661" s="477"/>
      <c r="S661" s="477"/>
      <c r="U661" s="478"/>
      <c r="V661" s="478"/>
      <c r="AD661" s="477"/>
    </row>
    <row r="662" spans="5:30">
      <c r="E662" s="465"/>
      <c r="F662" s="465"/>
      <c r="H662" s="466"/>
      <c r="I662" s="466"/>
      <c r="R662" s="477"/>
      <c r="S662" s="477"/>
      <c r="U662" s="478"/>
      <c r="V662" s="478"/>
      <c r="AD662" s="477"/>
    </row>
    <row r="663" spans="5:30">
      <c r="E663" s="465"/>
      <c r="F663" s="465"/>
      <c r="H663" s="466"/>
      <c r="I663" s="466"/>
      <c r="R663" s="477"/>
      <c r="S663" s="477"/>
      <c r="U663" s="478"/>
      <c r="V663" s="478"/>
      <c r="AD663" s="477"/>
    </row>
    <row r="664" spans="5:30">
      <c r="E664" s="465"/>
      <c r="F664" s="465"/>
      <c r="H664" s="466"/>
      <c r="I664" s="466"/>
      <c r="R664" s="477"/>
      <c r="S664" s="477"/>
      <c r="U664" s="478"/>
      <c r="V664" s="478"/>
      <c r="AD664" s="477"/>
    </row>
    <row r="665" spans="5:30">
      <c r="E665" s="465"/>
      <c r="F665" s="465"/>
      <c r="H665" s="466"/>
      <c r="I665" s="466"/>
      <c r="R665" s="477"/>
      <c r="S665" s="477"/>
      <c r="U665" s="478"/>
      <c r="V665" s="478"/>
      <c r="AD665" s="477"/>
    </row>
    <row r="666" spans="5:30">
      <c r="E666" s="465"/>
      <c r="F666" s="465"/>
      <c r="H666" s="466"/>
      <c r="I666" s="466"/>
      <c r="R666" s="477"/>
      <c r="S666" s="477"/>
      <c r="U666" s="478"/>
      <c r="V666" s="478"/>
      <c r="AD666" s="477"/>
    </row>
    <row r="667" spans="5:30">
      <c r="E667" s="465"/>
      <c r="F667" s="465"/>
      <c r="H667" s="466"/>
      <c r="I667" s="466"/>
      <c r="R667" s="477"/>
      <c r="S667" s="477"/>
      <c r="U667" s="478"/>
      <c r="V667" s="478"/>
      <c r="AD667" s="477"/>
    </row>
    <row r="668" spans="5:30">
      <c r="E668" s="465"/>
      <c r="F668" s="465"/>
      <c r="H668" s="466"/>
      <c r="I668" s="466"/>
      <c r="R668" s="477"/>
      <c r="S668" s="477"/>
      <c r="U668" s="478"/>
      <c r="V668" s="478"/>
      <c r="AD668" s="477"/>
    </row>
    <row r="669" spans="5:30">
      <c r="E669" s="465"/>
      <c r="F669" s="465"/>
      <c r="H669" s="466"/>
      <c r="I669" s="466"/>
      <c r="R669" s="477"/>
      <c r="S669" s="477"/>
      <c r="U669" s="478"/>
      <c r="V669" s="478"/>
      <c r="AD669" s="477"/>
    </row>
    <row r="670" spans="5:30">
      <c r="E670" s="465"/>
      <c r="F670" s="465"/>
      <c r="H670" s="466"/>
      <c r="I670" s="466"/>
      <c r="R670" s="477"/>
      <c r="S670" s="477"/>
      <c r="U670" s="478"/>
      <c r="V670" s="478"/>
      <c r="AD670" s="477"/>
    </row>
    <row r="671" spans="5:30">
      <c r="E671" s="465"/>
      <c r="F671" s="465"/>
      <c r="H671" s="466"/>
      <c r="I671" s="466"/>
      <c r="R671" s="477"/>
      <c r="S671" s="477"/>
      <c r="U671" s="478"/>
      <c r="V671" s="478"/>
      <c r="AD671" s="477"/>
    </row>
    <row r="672" spans="5:30">
      <c r="E672" s="465"/>
      <c r="F672" s="465"/>
      <c r="H672" s="466"/>
      <c r="I672" s="466"/>
      <c r="R672" s="477"/>
      <c r="S672" s="477"/>
      <c r="U672" s="478"/>
      <c r="V672" s="478"/>
      <c r="AD672" s="477"/>
    </row>
    <row r="673" spans="5:40">
      <c r="E673" s="465"/>
      <c r="F673" s="465"/>
      <c r="H673" s="466"/>
      <c r="I673" s="466"/>
      <c r="R673" s="477"/>
      <c r="S673" s="477"/>
      <c r="U673" s="478"/>
      <c r="V673" s="478"/>
      <c r="AD673" s="477"/>
    </row>
    <row r="674" spans="5:40">
      <c r="E674" s="465"/>
      <c r="F674" s="465"/>
      <c r="H674" s="466"/>
      <c r="I674" s="466"/>
      <c r="R674" s="477"/>
      <c r="S674" s="477"/>
      <c r="U674" s="478"/>
      <c r="V674" s="478"/>
      <c r="AD674" s="477"/>
    </row>
    <row r="675" spans="5:40">
      <c r="E675" s="465"/>
      <c r="F675" s="465"/>
      <c r="G675" s="477"/>
      <c r="H675" s="466"/>
      <c r="I675" s="466"/>
      <c r="J675" s="477"/>
      <c r="K675" s="477"/>
      <c r="N675" s="477"/>
      <c r="O675" s="477"/>
      <c r="P675" s="477"/>
      <c r="Q675" s="477"/>
      <c r="R675" s="477"/>
      <c r="S675" s="477"/>
      <c r="T675" s="477"/>
      <c r="U675" s="477"/>
      <c r="V675" s="477"/>
      <c r="AD675" s="477"/>
      <c r="AE675" s="477"/>
      <c r="AF675" s="477"/>
      <c r="AG675" s="477"/>
      <c r="AH675" s="477"/>
      <c r="AJ675" s="477"/>
      <c r="AK675" s="477"/>
      <c r="AL675" s="477"/>
      <c r="AM675" s="477"/>
      <c r="AN675" s="477"/>
    </row>
    <row r="676" spans="5:40">
      <c r="E676" s="465"/>
      <c r="F676" s="465"/>
      <c r="H676" s="466"/>
      <c r="I676" s="466"/>
      <c r="R676" s="477"/>
      <c r="S676" s="477"/>
      <c r="U676" s="478"/>
      <c r="V676" s="478"/>
      <c r="AD676" s="477"/>
    </row>
    <row r="677" spans="5:40">
      <c r="E677" s="465"/>
      <c r="F677" s="465"/>
      <c r="H677" s="466"/>
      <c r="I677" s="466"/>
      <c r="R677" s="477"/>
      <c r="S677" s="477"/>
      <c r="U677" s="478"/>
      <c r="V677" s="478"/>
      <c r="AD677" s="477"/>
    </row>
    <row r="678" spans="5:40">
      <c r="E678" s="465"/>
      <c r="F678" s="465"/>
      <c r="H678" s="466"/>
      <c r="I678" s="466"/>
      <c r="R678" s="477"/>
      <c r="S678" s="477"/>
      <c r="U678" s="478"/>
      <c r="V678" s="478"/>
      <c r="AD678" s="477"/>
    </row>
    <row r="679" spans="5:40">
      <c r="E679" s="465"/>
      <c r="F679" s="465"/>
      <c r="H679" s="466"/>
      <c r="I679" s="466"/>
      <c r="R679" s="477"/>
      <c r="S679" s="477"/>
      <c r="U679" s="478"/>
      <c r="V679" s="478"/>
      <c r="AD679" s="477"/>
    </row>
    <row r="680" spans="5:40">
      <c r="E680" s="465"/>
      <c r="F680" s="465"/>
      <c r="H680" s="466"/>
      <c r="I680" s="466"/>
      <c r="R680" s="477"/>
      <c r="S680" s="477"/>
      <c r="U680" s="478"/>
      <c r="V680" s="478"/>
      <c r="AD680" s="477"/>
    </row>
    <row r="681" spans="5:40">
      <c r="E681" s="465"/>
      <c r="F681" s="465"/>
      <c r="H681" s="466"/>
      <c r="I681" s="466"/>
      <c r="R681" s="477"/>
      <c r="S681" s="477"/>
      <c r="U681" s="478"/>
      <c r="V681" s="478"/>
      <c r="AD681" s="477"/>
    </row>
    <row r="682" spans="5:40">
      <c r="E682" s="465"/>
      <c r="F682" s="465"/>
      <c r="H682" s="466"/>
      <c r="I682" s="466"/>
      <c r="R682" s="477"/>
      <c r="S682" s="477"/>
      <c r="U682" s="478"/>
      <c r="V682" s="478"/>
      <c r="AD682" s="477"/>
    </row>
    <row r="683" spans="5:40">
      <c r="E683" s="465"/>
      <c r="F683" s="465"/>
      <c r="H683" s="466"/>
      <c r="I683" s="466"/>
      <c r="R683" s="477"/>
      <c r="S683" s="477"/>
      <c r="U683" s="478"/>
      <c r="V683" s="478"/>
      <c r="AD683" s="477"/>
    </row>
    <row r="684" spans="5:40">
      <c r="E684" s="465"/>
      <c r="F684" s="465"/>
      <c r="H684" s="466"/>
      <c r="I684" s="466"/>
      <c r="R684" s="477"/>
      <c r="S684" s="477"/>
      <c r="U684" s="478"/>
      <c r="V684" s="478"/>
      <c r="AD684" s="477"/>
    </row>
    <row r="685" spans="5:40">
      <c r="E685" s="465"/>
      <c r="F685" s="465"/>
      <c r="H685" s="466"/>
      <c r="I685" s="466"/>
      <c r="R685" s="477"/>
      <c r="S685" s="477"/>
      <c r="U685" s="478"/>
      <c r="V685" s="478"/>
      <c r="AD685" s="477"/>
    </row>
    <row r="686" spans="5:40">
      <c r="E686" s="465"/>
      <c r="F686" s="465"/>
      <c r="H686" s="466"/>
      <c r="I686" s="466"/>
      <c r="R686" s="477"/>
      <c r="S686" s="477"/>
      <c r="U686" s="478"/>
      <c r="V686" s="478"/>
      <c r="AD686" s="477"/>
    </row>
    <row r="687" spans="5:40">
      <c r="E687" s="465"/>
      <c r="F687" s="465"/>
      <c r="H687" s="466"/>
      <c r="I687" s="466"/>
      <c r="R687" s="477"/>
      <c r="S687" s="477"/>
      <c r="U687" s="478"/>
      <c r="V687" s="478"/>
      <c r="AD687" s="477"/>
    </row>
    <row r="688" spans="5:40">
      <c r="E688" s="465"/>
      <c r="F688" s="465"/>
      <c r="H688" s="466"/>
      <c r="I688" s="466"/>
      <c r="R688" s="477"/>
      <c r="S688" s="477"/>
      <c r="U688" s="478"/>
      <c r="V688" s="478"/>
      <c r="AD688" s="477"/>
    </row>
    <row r="689" spans="5:30">
      <c r="E689" s="465"/>
      <c r="F689" s="465"/>
      <c r="H689" s="466"/>
      <c r="I689" s="466"/>
      <c r="R689" s="477"/>
      <c r="S689" s="477"/>
      <c r="U689" s="478"/>
      <c r="V689" s="478"/>
      <c r="AD689" s="477"/>
    </row>
    <row r="690" spans="5:30">
      <c r="E690" s="465"/>
      <c r="F690" s="465"/>
      <c r="H690" s="466"/>
      <c r="I690" s="466"/>
      <c r="R690" s="477"/>
      <c r="S690" s="477"/>
      <c r="U690" s="478"/>
      <c r="V690" s="478"/>
      <c r="AD690" s="477"/>
    </row>
    <row r="691" spans="5:30">
      <c r="E691" s="465"/>
      <c r="F691" s="465"/>
      <c r="H691" s="466"/>
      <c r="I691" s="466"/>
      <c r="R691" s="477"/>
      <c r="S691" s="477"/>
      <c r="U691" s="478"/>
      <c r="V691" s="478"/>
      <c r="AD691" s="477"/>
    </row>
    <row r="692" spans="5:30">
      <c r="E692" s="465"/>
      <c r="F692" s="465"/>
      <c r="H692" s="466"/>
      <c r="I692" s="466"/>
      <c r="R692" s="477"/>
      <c r="S692" s="477"/>
      <c r="U692" s="478"/>
      <c r="V692" s="478"/>
      <c r="AD692" s="477"/>
    </row>
    <row r="693" spans="5:30">
      <c r="E693" s="465"/>
      <c r="F693" s="465"/>
      <c r="H693" s="466"/>
      <c r="I693" s="466"/>
      <c r="R693" s="477"/>
      <c r="S693" s="477"/>
      <c r="U693" s="478"/>
      <c r="V693" s="478"/>
      <c r="AD693" s="477"/>
    </row>
    <row r="694" spans="5:30">
      <c r="E694" s="465"/>
      <c r="F694" s="465"/>
      <c r="H694" s="466"/>
      <c r="I694" s="466"/>
      <c r="R694" s="477"/>
      <c r="S694" s="477"/>
      <c r="U694" s="478"/>
      <c r="V694" s="478"/>
      <c r="AD694" s="477"/>
    </row>
    <row r="695" spans="5:30">
      <c r="E695" s="465"/>
      <c r="F695" s="465"/>
      <c r="H695" s="466"/>
      <c r="I695" s="466"/>
      <c r="R695" s="477"/>
      <c r="S695" s="477"/>
      <c r="U695" s="478"/>
      <c r="V695" s="478"/>
      <c r="AD695" s="477"/>
    </row>
    <row r="696" spans="5:30">
      <c r="E696" s="465"/>
      <c r="F696" s="465"/>
      <c r="H696" s="466"/>
      <c r="I696" s="466"/>
      <c r="R696" s="477"/>
      <c r="S696" s="477"/>
      <c r="U696" s="478"/>
      <c r="V696" s="478"/>
      <c r="AD696" s="477"/>
    </row>
    <row r="697" spans="5:30">
      <c r="E697" s="465"/>
      <c r="F697" s="465"/>
      <c r="H697" s="466"/>
      <c r="I697" s="466"/>
      <c r="R697" s="477"/>
      <c r="S697" s="477"/>
      <c r="U697" s="478"/>
      <c r="V697" s="478"/>
      <c r="AD697" s="477"/>
    </row>
    <row r="698" spans="5:30">
      <c r="E698" s="465"/>
      <c r="F698" s="465"/>
      <c r="H698" s="466"/>
      <c r="I698" s="466"/>
      <c r="R698" s="477"/>
      <c r="S698" s="477"/>
      <c r="U698" s="478"/>
      <c r="V698" s="478"/>
      <c r="AD698" s="477"/>
    </row>
    <row r="699" spans="5:30">
      <c r="E699" s="465"/>
      <c r="F699" s="465"/>
      <c r="H699" s="466"/>
      <c r="I699" s="466"/>
      <c r="R699" s="477"/>
      <c r="S699" s="477"/>
      <c r="U699" s="478"/>
      <c r="V699" s="478"/>
      <c r="AD699" s="477"/>
    </row>
    <row r="700" spans="5:30">
      <c r="E700" s="465"/>
      <c r="F700" s="465"/>
      <c r="H700" s="466"/>
      <c r="I700" s="466"/>
      <c r="R700" s="477"/>
      <c r="S700" s="477"/>
      <c r="U700" s="478"/>
      <c r="V700" s="478"/>
      <c r="AD700" s="477"/>
    </row>
    <row r="701" spans="5:30">
      <c r="E701" s="465"/>
      <c r="F701" s="465"/>
      <c r="H701" s="466"/>
      <c r="I701" s="466"/>
      <c r="R701" s="477"/>
      <c r="S701" s="477"/>
      <c r="U701" s="478"/>
      <c r="V701" s="478"/>
      <c r="AD701" s="477"/>
    </row>
    <row r="702" spans="5:30">
      <c r="E702" s="465"/>
      <c r="F702" s="465"/>
      <c r="H702" s="466"/>
      <c r="I702" s="466"/>
      <c r="R702" s="477"/>
      <c r="S702" s="477"/>
      <c r="U702" s="478"/>
      <c r="V702" s="478"/>
      <c r="AD702" s="477"/>
    </row>
    <row r="703" spans="5:30">
      <c r="E703" s="465"/>
      <c r="F703" s="465"/>
      <c r="H703" s="466"/>
      <c r="I703" s="466"/>
      <c r="R703" s="477"/>
      <c r="S703" s="477"/>
      <c r="U703" s="478"/>
      <c r="V703" s="478"/>
      <c r="AD703" s="477"/>
    </row>
    <row r="704" spans="5:30">
      <c r="E704" s="465"/>
      <c r="F704" s="465"/>
      <c r="H704" s="466"/>
      <c r="I704" s="466"/>
      <c r="R704" s="477"/>
      <c r="S704" s="477"/>
      <c r="U704" s="478"/>
      <c r="V704" s="478"/>
      <c r="AD704" s="477"/>
    </row>
    <row r="705" spans="5:30">
      <c r="E705" s="465"/>
      <c r="F705" s="465"/>
      <c r="H705" s="466"/>
      <c r="I705" s="466"/>
      <c r="R705" s="477"/>
      <c r="S705" s="477"/>
      <c r="U705" s="478"/>
      <c r="V705" s="478"/>
      <c r="AD705" s="477"/>
    </row>
    <row r="706" spans="5:30">
      <c r="E706" s="465"/>
      <c r="F706" s="465"/>
      <c r="H706" s="466"/>
      <c r="I706" s="466"/>
      <c r="R706" s="477"/>
      <c r="S706" s="477"/>
      <c r="U706" s="478"/>
      <c r="V706" s="478"/>
      <c r="AD706" s="477"/>
    </row>
    <row r="707" spans="5:30">
      <c r="E707" s="465"/>
      <c r="F707" s="465"/>
      <c r="H707" s="466"/>
      <c r="I707" s="466"/>
      <c r="R707" s="477"/>
      <c r="S707" s="477"/>
      <c r="U707" s="478"/>
      <c r="V707" s="478"/>
      <c r="AD707" s="477"/>
    </row>
    <row r="708" spans="5:30">
      <c r="E708" s="465"/>
      <c r="F708" s="465"/>
      <c r="H708" s="466"/>
      <c r="I708" s="466"/>
      <c r="R708" s="477"/>
      <c r="S708" s="477"/>
      <c r="U708" s="478"/>
      <c r="V708" s="478"/>
      <c r="AD708" s="477"/>
    </row>
    <row r="709" spans="5:30">
      <c r="E709" s="465"/>
      <c r="F709" s="465"/>
      <c r="H709" s="466"/>
      <c r="I709" s="466"/>
      <c r="R709" s="477"/>
      <c r="S709" s="477"/>
      <c r="U709" s="478"/>
      <c r="V709" s="478"/>
      <c r="AD709" s="477"/>
    </row>
    <row r="710" spans="5:30">
      <c r="E710" s="465"/>
      <c r="F710" s="465"/>
      <c r="H710" s="466"/>
      <c r="I710" s="466"/>
      <c r="R710" s="477"/>
      <c r="S710" s="477"/>
      <c r="U710" s="478"/>
      <c r="V710" s="478"/>
      <c r="AD710" s="477"/>
    </row>
    <row r="711" spans="5:30">
      <c r="E711" s="465"/>
      <c r="F711" s="465"/>
      <c r="H711" s="466"/>
      <c r="I711" s="466"/>
      <c r="R711" s="477"/>
      <c r="S711" s="477"/>
      <c r="U711" s="478"/>
      <c r="V711" s="478"/>
      <c r="AD711" s="477"/>
    </row>
    <row r="712" spans="5:30">
      <c r="E712" s="465"/>
      <c r="F712" s="465"/>
      <c r="H712" s="466"/>
      <c r="I712" s="466"/>
      <c r="R712" s="477"/>
      <c r="S712" s="477"/>
      <c r="U712" s="478"/>
      <c r="V712" s="478"/>
      <c r="AD712" s="477"/>
    </row>
    <row r="713" spans="5:30">
      <c r="E713" s="465"/>
      <c r="F713" s="465"/>
      <c r="H713" s="466"/>
      <c r="I713" s="466"/>
      <c r="R713" s="477"/>
      <c r="S713" s="477"/>
      <c r="U713" s="478"/>
      <c r="V713" s="478"/>
      <c r="AD713" s="477"/>
    </row>
    <row r="714" spans="5:30">
      <c r="E714" s="465"/>
      <c r="F714" s="465"/>
      <c r="H714" s="466"/>
      <c r="I714" s="466"/>
      <c r="R714" s="477"/>
      <c r="S714" s="477"/>
      <c r="U714" s="478"/>
      <c r="V714" s="478"/>
      <c r="AD714" s="477"/>
    </row>
    <row r="715" spans="5:30">
      <c r="E715" s="465"/>
      <c r="F715" s="465"/>
      <c r="H715" s="466"/>
      <c r="I715" s="466"/>
      <c r="R715" s="477"/>
      <c r="S715" s="477"/>
      <c r="U715" s="478"/>
      <c r="V715" s="478"/>
      <c r="AD715" s="477"/>
    </row>
    <row r="716" spans="5:30">
      <c r="E716" s="465"/>
      <c r="F716" s="465"/>
      <c r="H716" s="466"/>
      <c r="I716" s="466"/>
      <c r="R716" s="477"/>
      <c r="S716" s="477"/>
      <c r="U716" s="478"/>
      <c r="V716" s="478"/>
      <c r="AD716" s="477"/>
    </row>
    <row r="717" spans="5:30">
      <c r="E717" s="465"/>
      <c r="F717" s="465"/>
      <c r="H717" s="466"/>
      <c r="I717" s="466"/>
      <c r="R717" s="477"/>
      <c r="S717" s="477"/>
      <c r="U717" s="478"/>
      <c r="V717" s="478"/>
      <c r="AD717" s="477"/>
    </row>
    <row r="718" spans="5:30">
      <c r="E718" s="465"/>
      <c r="F718" s="465"/>
      <c r="H718" s="466"/>
      <c r="I718" s="466"/>
      <c r="R718" s="477"/>
      <c r="S718" s="477"/>
      <c r="U718" s="478"/>
      <c r="V718" s="478"/>
      <c r="AD718" s="477"/>
    </row>
    <row r="719" spans="5:30">
      <c r="E719" s="465"/>
      <c r="F719" s="465"/>
      <c r="H719" s="466"/>
      <c r="I719" s="466"/>
      <c r="R719" s="477"/>
      <c r="S719" s="477"/>
      <c r="U719" s="478"/>
      <c r="V719" s="478"/>
      <c r="AD719" s="477"/>
    </row>
    <row r="720" spans="5:30">
      <c r="E720" s="465"/>
      <c r="F720" s="465"/>
      <c r="H720" s="466"/>
      <c r="I720" s="466"/>
      <c r="R720" s="477"/>
      <c r="S720" s="477"/>
      <c r="U720" s="478"/>
      <c r="V720" s="478"/>
      <c r="AD720" s="477"/>
    </row>
    <row r="721" spans="5:30">
      <c r="E721" s="465"/>
      <c r="F721" s="465"/>
      <c r="H721" s="466"/>
      <c r="I721" s="466"/>
      <c r="R721" s="477"/>
      <c r="S721" s="477"/>
      <c r="U721" s="478"/>
      <c r="V721" s="478"/>
      <c r="AD721" s="477"/>
    </row>
    <row r="722" spans="5:30">
      <c r="E722" s="465"/>
      <c r="F722" s="465"/>
      <c r="H722" s="466"/>
      <c r="I722" s="466"/>
      <c r="R722" s="477"/>
      <c r="S722" s="477"/>
      <c r="U722" s="478"/>
      <c r="V722" s="478"/>
      <c r="AD722" s="477"/>
    </row>
    <row r="723" spans="5:30">
      <c r="E723" s="465"/>
      <c r="F723" s="465"/>
      <c r="H723" s="466"/>
      <c r="I723" s="466"/>
      <c r="R723" s="477"/>
      <c r="S723" s="477"/>
      <c r="U723" s="478"/>
      <c r="V723" s="478"/>
      <c r="AD723" s="477"/>
    </row>
    <row r="724" spans="5:30">
      <c r="E724" s="465"/>
      <c r="F724" s="465"/>
      <c r="H724" s="466"/>
      <c r="I724" s="466"/>
      <c r="R724" s="477"/>
      <c r="S724" s="477"/>
      <c r="U724" s="478"/>
      <c r="V724" s="478"/>
      <c r="AD724" s="477"/>
    </row>
    <row r="725" spans="5:30">
      <c r="E725" s="465"/>
      <c r="F725" s="465"/>
      <c r="H725" s="466"/>
      <c r="I725" s="466"/>
      <c r="R725" s="477"/>
      <c r="S725" s="477"/>
      <c r="U725" s="478"/>
      <c r="V725" s="478"/>
      <c r="AD725" s="477"/>
    </row>
    <row r="726" spans="5:30">
      <c r="E726" s="465"/>
      <c r="F726" s="465"/>
      <c r="H726" s="466"/>
      <c r="I726" s="466"/>
      <c r="R726" s="477"/>
      <c r="S726" s="477"/>
      <c r="U726" s="478"/>
      <c r="V726" s="478"/>
      <c r="AD726" s="477"/>
    </row>
    <row r="727" spans="5:30">
      <c r="E727" s="465"/>
      <c r="F727" s="465"/>
      <c r="H727" s="466"/>
      <c r="I727" s="466"/>
      <c r="R727" s="477"/>
      <c r="S727" s="477"/>
      <c r="U727" s="478"/>
      <c r="V727" s="478"/>
      <c r="AD727" s="477"/>
    </row>
    <row r="728" spans="5:30">
      <c r="E728" s="465"/>
      <c r="F728" s="465"/>
      <c r="H728" s="466"/>
      <c r="I728" s="466"/>
      <c r="R728" s="477"/>
      <c r="S728" s="477"/>
      <c r="U728" s="478"/>
      <c r="V728" s="478"/>
      <c r="AD728" s="477"/>
    </row>
    <row r="729" spans="5:30">
      <c r="E729" s="465"/>
      <c r="F729" s="465"/>
      <c r="H729" s="466"/>
      <c r="I729" s="466"/>
      <c r="R729" s="477"/>
      <c r="S729" s="477"/>
      <c r="U729" s="478"/>
      <c r="V729" s="478"/>
      <c r="AD729" s="477"/>
    </row>
    <row r="730" spans="5:30">
      <c r="E730" s="465"/>
      <c r="F730" s="465"/>
      <c r="H730" s="466"/>
      <c r="I730" s="466"/>
      <c r="R730" s="477"/>
      <c r="S730" s="477"/>
      <c r="U730" s="478"/>
      <c r="V730" s="478"/>
      <c r="AD730" s="477"/>
    </row>
    <row r="731" spans="5:30">
      <c r="E731" s="465"/>
      <c r="F731" s="465"/>
      <c r="H731" s="466"/>
      <c r="I731" s="466"/>
      <c r="R731" s="477"/>
      <c r="S731" s="477"/>
      <c r="U731" s="478"/>
      <c r="V731" s="478"/>
      <c r="AD731" s="477"/>
    </row>
    <row r="732" spans="5:30">
      <c r="E732" s="465"/>
      <c r="F732" s="465"/>
      <c r="H732" s="466"/>
      <c r="I732" s="466"/>
      <c r="R732" s="477"/>
      <c r="S732" s="477"/>
      <c r="U732" s="478"/>
      <c r="V732" s="478"/>
      <c r="AD732" s="477"/>
    </row>
    <row r="733" spans="5:30">
      <c r="E733" s="465"/>
      <c r="F733" s="465"/>
      <c r="H733" s="466"/>
      <c r="I733" s="466"/>
      <c r="R733" s="477"/>
      <c r="S733" s="477"/>
      <c r="U733" s="478"/>
      <c r="V733" s="478"/>
      <c r="AD733" s="477"/>
    </row>
    <row r="734" spans="5:30">
      <c r="E734" s="465"/>
      <c r="F734" s="465"/>
      <c r="H734" s="466"/>
      <c r="I734" s="466"/>
      <c r="R734" s="477"/>
      <c r="S734" s="477"/>
      <c r="U734" s="478"/>
      <c r="V734" s="478"/>
      <c r="AD734" s="477"/>
    </row>
    <row r="735" spans="5:30">
      <c r="E735" s="465"/>
      <c r="F735" s="465"/>
      <c r="H735" s="466"/>
      <c r="I735" s="466"/>
      <c r="R735" s="477"/>
      <c r="S735" s="477"/>
      <c r="U735" s="478"/>
      <c r="V735" s="478"/>
      <c r="AD735" s="477"/>
    </row>
    <row r="736" spans="5:30">
      <c r="E736" s="465"/>
      <c r="F736" s="465"/>
      <c r="H736" s="466"/>
      <c r="I736" s="466"/>
      <c r="R736" s="477"/>
      <c r="S736" s="477"/>
      <c r="U736" s="478"/>
      <c r="V736" s="478"/>
      <c r="AD736" s="477"/>
    </row>
    <row r="737" spans="5:30">
      <c r="E737" s="465"/>
      <c r="F737" s="465"/>
      <c r="H737" s="466"/>
      <c r="I737" s="466"/>
      <c r="R737" s="477"/>
      <c r="S737" s="477"/>
      <c r="U737" s="478"/>
      <c r="V737" s="478"/>
      <c r="AD737" s="477"/>
    </row>
    <row r="738" spans="5:30">
      <c r="E738" s="465"/>
      <c r="F738" s="465"/>
      <c r="H738" s="466"/>
      <c r="I738" s="466"/>
      <c r="R738" s="477"/>
      <c r="S738" s="477"/>
      <c r="U738" s="478"/>
      <c r="V738" s="478"/>
      <c r="AD738" s="477"/>
    </row>
    <row r="739" spans="5:30">
      <c r="E739" s="465"/>
      <c r="F739" s="465"/>
      <c r="H739" s="466"/>
      <c r="I739" s="466"/>
      <c r="R739" s="477"/>
      <c r="S739" s="477"/>
      <c r="U739" s="478"/>
      <c r="V739" s="478"/>
      <c r="AD739" s="477"/>
    </row>
    <row r="740" spans="5:30">
      <c r="E740" s="465"/>
      <c r="F740" s="465"/>
      <c r="H740" s="466"/>
      <c r="I740" s="466"/>
      <c r="R740" s="477"/>
      <c r="S740" s="477"/>
      <c r="U740" s="478"/>
      <c r="V740" s="478"/>
      <c r="AD740" s="477"/>
    </row>
    <row r="741" spans="5:30">
      <c r="E741" s="465"/>
      <c r="F741" s="465"/>
      <c r="H741" s="466"/>
      <c r="I741" s="466"/>
      <c r="R741" s="477"/>
      <c r="S741" s="477"/>
      <c r="U741" s="478"/>
      <c r="V741" s="478"/>
      <c r="AD741" s="477"/>
    </row>
    <row r="742" spans="5:30">
      <c r="E742" s="465"/>
      <c r="F742" s="465"/>
      <c r="H742" s="466"/>
      <c r="I742" s="466"/>
      <c r="R742" s="477"/>
      <c r="S742" s="477"/>
      <c r="U742" s="478"/>
      <c r="V742" s="478"/>
      <c r="AD742" s="477"/>
    </row>
    <row r="743" spans="5:30">
      <c r="E743" s="465"/>
      <c r="F743" s="465"/>
      <c r="H743" s="466"/>
      <c r="I743" s="466"/>
      <c r="R743" s="477"/>
      <c r="S743" s="477"/>
      <c r="U743" s="478"/>
      <c r="V743" s="478"/>
      <c r="AD743" s="477"/>
    </row>
    <row r="744" spans="5:30">
      <c r="E744" s="465"/>
      <c r="F744" s="465"/>
      <c r="H744" s="466"/>
      <c r="I744" s="466"/>
      <c r="R744" s="477"/>
      <c r="S744" s="477"/>
      <c r="U744" s="478"/>
      <c r="V744" s="478"/>
      <c r="AD744" s="477"/>
    </row>
    <row r="745" spans="5:30">
      <c r="E745" s="465"/>
      <c r="F745" s="465"/>
      <c r="H745" s="466"/>
      <c r="I745" s="466"/>
      <c r="R745" s="477"/>
      <c r="S745" s="477"/>
      <c r="U745" s="478"/>
      <c r="V745" s="478"/>
      <c r="AD745" s="477"/>
    </row>
    <row r="746" spans="5:30">
      <c r="E746" s="465"/>
      <c r="F746" s="465"/>
      <c r="H746" s="466"/>
      <c r="I746" s="466"/>
      <c r="R746" s="477"/>
      <c r="S746" s="477"/>
      <c r="U746" s="478"/>
      <c r="V746" s="478"/>
      <c r="AD746" s="477"/>
    </row>
    <row r="747" spans="5:30">
      <c r="E747" s="465"/>
      <c r="F747" s="465"/>
      <c r="I747" s="466"/>
      <c r="R747" s="477"/>
      <c r="S747" s="477"/>
      <c r="U747" s="478"/>
      <c r="V747" s="478"/>
      <c r="AD747" s="477"/>
    </row>
    <row r="748" spans="5:30">
      <c r="E748" s="465"/>
      <c r="F748" s="465"/>
      <c r="I748" s="466"/>
      <c r="R748" s="477"/>
      <c r="S748" s="477"/>
      <c r="U748" s="478"/>
      <c r="V748" s="478"/>
      <c r="AD748" s="477"/>
    </row>
    <row r="749" spans="5:30">
      <c r="E749" s="465"/>
      <c r="F749" s="465"/>
      <c r="H749" s="466"/>
      <c r="I749" s="466"/>
      <c r="R749" s="477"/>
      <c r="S749" s="477"/>
      <c r="U749" s="478"/>
      <c r="V749" s="478"/>
      <c r="AD749" s="477"/>
    </row>
    <row r="750" spans="5:30">
      <c r="E750" s="465"/>
      <c r="F750" s="465"/>
      <c r="I750" s="466"/>
      <c r="R750" s="477"/>
      <c r="S750" s="477"/>
      <c r="U750" s="478"/>
      <c r="V750" s="478"/>
      <c r="AD750" s="477"/>
    </row>
    <row r="751" spans="5:30">
      <c r="E751" s="465"/>
      <c r="F751" s="465"/>
      <c r="H751" s="466"/>
      <c r="I751" s="466"/>
      <c r="R751" s="477"/>
      <c r="S751" s="477"/>
      <c r="U751" s="478"/>
      <c r="V751" s="478"/>
      <c r="AD751" s="477"/>
    </row>
    <row r="752" spans="5:30">
      <c r="E752" s="465"/>
      <c r="F752" s="465"/>
      <c r="I752" s="466"/>
      <c r="R752" s="477"/>
      <c r="S752" s="477"/>
      <c r="U752" s="478"/>
      <c r="V752" s="478"/>
      <c r="AD752" s="477"/>
    </row>
    <row r="753" spans="5:40">
      <c r="E753" s="465"/>
      <c r="F753" s="465"/>
      <c r="I753" s="466"/>
      <c r="R753" s="477"/>
      <c r="S753" s="477"/>
      <c r="U753" s="478"/>
      <c r="V753" s="478"/>
      <c r="AD753" s="477"/>
    </row>
    <row r="754" spans="5:40">
      <c r="E754" s="465"/>
      <c r="F754" s="465"/>
      <c r="I754" s="466"/>
      <c r="R754" s="477"/>
      <c r="S754" s="477"/>
      <c r="U754" s="478"/>
      <c r="V754" s="478"/>
      <c r="AD754" s="477"/>
    </row>
    <row r="755" spans="5:40">
      <c r="E755" s="465"/>
      <c r="F755" s="465"/>
      <c r="I755" s="466"/>
      <c r="R755" s="477"/>
      <c r="S755" s="477"/>
      <c r="U755" s="478"/>
      <c r="V755" s="478"/>
      <c r="AD755" s="477"/>
    </row>
    <row r="756" spans="5:40">
      <c r="E756" s="465"/>
      <c r="F756" s="465"/>
      <c r="I756" s="466"/>
      <c r="R756" s="477"/>
      <c r="S756" s="477"/>
      <c r="U756" s="478"/>
      <c r="V756" s="478"/>
      <c r="AD756" s="477"/>
    </row>
    <row r="757" spans="5:40">
      <c r="E757" s="465"/>
      <c r="F757" s="465"/>
      <c r="I757" s="466"/>
      <c r="R757" s="477"/>
      <c r="S757" s="477"/>
      <c r="U757" s="478"/>
      <c r="V757" s="478"/>
      <c r="AD757" s="477"/>
    </row>
    <row r="758" spans="5:40">
      <c r="E758" s="465"/>
      <c r="F758" s="465"/>
      <c r="I758" s="466"/>
      <c r="R758" s="477"/>
      <c r="S758" s="477"/>
      <c r="U758" s="478"/>
      <c r="V758" s="478"/>
      <c r="AD758" s="477"/>
    </row>
    <row r="759" spans="5:40">
      <c r="E759" s="465"/>
      <c r="F759" s="465"/>
      <c r="G759" s="477"/>
      <c r="I759" s="466"/>
      <c r="J759" s="477"/>
      <c r="K759" s="477"/>
      <c r="N759" s="477"/>
      <c r="O759" s="477"/>
      <c r="P759" s="477"/>
      <c r="Q759" s="477"/>
      <c r="R759" s="477"/>
      <c r="S759" s="477"/>
      <c r="T759" s="477"/>
      <c r="U759" s="477"/>
      <c r="V759" s="477"/>
      <c r="AD759" s="477"/>
      <c r="AE759" s="477"/>
      <c r="AF759" s="477"/>
      <c r="AG759" s="477"/>
      <c r="AH759" s="477"/>
      <c r="AJ759" s="477"/>
      <c r="AK759" s="477"/>
      <c r="AL759" s="477"/>
      <c r="AM759" s="477"/>
      <c r="AN759" s="477"/>
    </row>
    <row r="760" spans="5:40">
      <c r="E760" s="465"/>
      <c r="F760" s="465"/>
      <c r="H760" s="466"/>
      <c r="I760" s="466"/>
      <c r="R760" s="477"/>
      <c r="S760" s="477"/>
      <c r="U760" s="478"/>
      <c r="V760" s="478"/>
      <c r="AD760" s="477"/>
    </row>
    <row r="761" spans="5:40">
      <c r="E761" s="465"/>
      <c r="F761" s="465"/>
      <c r="H761" s="466"/>
      <c r="I761" s="466"/>
      <c r="R761" s="477"/>
      <c r="S761" s="477"/>
      <c r="U761" s="478"/>
      <c r="V761" s="478"/>
      <c r="AD761" s="477"/>
    </row>
    <row r="762" spans="5:40">
      <c r="E762" s="465"/>
      <c r="F762" s="465"/>
      <c r="H762" s="466"/>
      <c r="I762" s="466"/>
      <c r="R762" s="477"/>
      <c r="S762" s="477"/>
      <c r="U762" s="478"/>
      <c r="V762" s="478"/>
      <c r="AD762" s="477"/>
    </row>
    <row r="763" spans="5:40">
      <c r="E763" s="465"/>
      <c r="F763" s="465"/>
      <c r="H763" s="466"/>
      <c r="I763" s="466"/>
      <c r="R763" s="477"/>
      <c r="S763" s="477"/>
      <c r="U763" s="478"/>
      <c r="V763" s="478"/>
      <c r="AD763" s="477"/>
    </row>
    <row r="764" spans="5:40">
      <c r="E764" s="465"/>
      <c r="F764" s="465"/>
      <c r="H764" s="466"/>
      <c r="I764" s="466"/>
      <c r="R764" s="477"/>
      <c r="S764" s="477"/>
      <c r="U764" s="478"/>
      <c r="V764" s="478"/>
      <c r="AD764" s="477"/>
    </row>
    <row r="765" spans="5:40">
      <c r="E765" s="465"/>
      <c r="F765" s="465"/>
      <c r="H765" s="466"/>
      <c r="I765" s="466"/>
      <c r="R765" s="477"/>
      <c r="S765" s="477"/>
      <c r="U765" s="478"/>
      <c r="V765" s="478"/>
      <c r="AD765" s="477"/>
    </row>
    <row r="766" spans="5:40">
      <c r="E766" s="465"/>
      <c r="F766" s="465"/>
      <c r="H766" s="466"/>
      <c r="I766" s="466"/>
      <c r="R766" s="477"/>
      <c r="S766" s="477"/>
      <c r="U766" s="478"/>
      <c r="V766" s="478"/>
      <c r="AD766" s="477"/>
    </row>
    <row r="767" spans="5:40">
      <c r="E767" s="465"/>
      <c r="F767" s="465"/>
      <c r="H767" s="466"/>
      <c r="I767" s="466"/>
      <c r="R767" s="477"/>
      <c r="S767" s="477"/>
      <c r="U767" s="478"/>
      <c r="V767" s="478"/>
      <c r="AD767" s="477"/>
    </row>
    <row r="768" spans="5:40">
      <c r="E768" s="465"/>
      <c r="F768" s="465"/>
      <c r="H768" s="466"/>
      <c r="I768" s="466"/>
      <c r="R768" s="477"/>
      <c r="S768" s="477"/>
      <c r="U768" s="478"/>
      <c r="V768" s="478"/>
      <c r="AD768" s="477"/>
    </row>
    <row r="769" spans="5:30">
      <c r="E769" s="465"/>
      <c r="F769" s="465"/>
      <c r="H769" s="466"/>
      <c r="I769" s="466"/>
      <c r="R769" s="477"/>
      <c r="S769" s="477"/>
      <c r="U769" s="478"/>
      <c r="V769" s="478"/>
      <c r="AD769" s="477"/>
    </row>
    <row r="770" spans="5:30">
      <c r="E770" s="465"/>
      <c r="F770" s="465"/>
      <c r="H770" s="466"/>
      <c r="I770" s="466"/>
      <c r="R770" s="477"/>
      <c r="S770" s="477"/>
      <c r="U770" s="478"/>
      <c r="V770" s="478"/>
      <c r="AD770" s="477"/>
    </row>
    <row r="771" spans="5:30">
      <c r="E771" s="465"/>
      <c r="F771" s="465"/>
      <c r="H771" s="466"/>
      <c r="I771" s="466"/>
      <c r="R771" s="477"/>
      <c r="S771" s="477"/>
      <c r="U771" s="478"/>
      <c r="V771" s="478"/>
      <c r="AD771" s="477"/>
    </row>
    <row r="772" spans="5:30">
      <c r="E772" s="465"/>
      <c r="F772" s="465"/>
      <c r="H772" s="466"/>
      <c r="I772" s="466"/>
      <c r="R772" s="477"/>
      <c r="S772" s="477"/>
      <c r="U772" s="478"/>
      <c r="V772" s="478"/>
      <c r="AD772" s="477"/>
    </row>
    <row r="773" spans="5:30">
      <c r="E773" s="465"/>
      <c r="F773" s="465"/>
      <c r="H773" s="466"/>
      <c r="I773" s="466"/>
      <c r="R773" s="477"/>
      <c r="S773" s="477"/>
      <c r="U773" s="478"/>
      <c r="V773" s="478"/>
      <c r="AD773" s="477"/>
    </row>
    <row r="774" spans="5:30">
      <c r="E774" s="465"/>
      <c r="F774" s="465"/>
      <c r="H774" s="466"/>
      <c r="I774" s="466"/>
      <c r="R774" s="477"/>
      <c r="S774" s="477"/>
      <c r="U774" s="478"/>
      <c r="V774" s="478"/>
      <c r="AD774" s="477"/>
    </row>
    <row r="775" spans="5:30">
      <c r="E775" s="465"/>
      <c r="F775" s="465"/>
      <c r="H775" s="466"/>
      <c r="I775" s="466"/>
      <c r="R775" s="477"/>
      <c r="S775" s="477"/>
      <c r="U775" s="478"/>
      <c r="V775" s="478"/>
      <c r="AD775" s="477"/>
    </row>
    <row r="776" spans="5:30">
      <c r="E776" s="465"/>
      <c r="F776" s="465"/>
      <c r="H776" s="466"/>
      <c r="I776" s="466"/>
      <c r="R776" s="477"/>
      <c r="S776" s="477"/>
      <c r="U776" s="478"/>
      <c r="V776" s="478"/>
      <c r="AD776" s="477"/>
    </row>
    <row r="777" spans="5:30">
      <c r="E777" s="465"/>
      <c r="F777" s="465"/>
      <c r="H777" s="466"/>
      <c r="I777" s="466"/>
      <c r="R777" s="477"/>
      <c r="S777" s="477"/>
      <c r="U777" s="478"/>
      <c r="V777" s="478"/>
      <c r="AD777" s="477"/>
    </row>
    <row r="778" spans="5:30">
      <c r="E778" s="465"/>
      <c r="F778" s="465"/>
      <c r="H778" s="466"/>
      <c r="I778" s="466"/>
      <c r="R778" s="477"/>
      <c r="S778" s="477"/>
      <c r="U778" s="478"/>
      <c r="V778" s="478"/>
      <c r="AD778" s="477"/>
    </row>
    <row r="779" spans="5:30">
      <c r="E779" s="465"/>
      <c r="F779" s="465"/>
      <c r="H779" s="466"/>
      <c r="I779" s="466"/>
      <c r="R779" s="477"/>
      <c r="S779" s="477"/>
      <c r="U779" s="478"/>
      <c r="V779" s="478"/>
      <c r="AD779" s="477"/>
    </row>
    <row r="780" spans="5:30">
      <c r="E780" s="465"/>
      <c r="F780" s="465"/>
      <c r="H780" s="466"/>
      <c r="I780" s="466"/>
      <c r="R780" s="477"/>
      <c r="S780" s="477"/>
      <c r="U780" s="478"/>
      <c r="V780" s="478"/>
      <c r="AD780" s="477"/>
    </row>
    <row r="781" spans="5:30">
      <c r="E781" s="465"/>
      <c r="F781" s="465"/>
      <c r="H781" s="466"/>
      <c r="I781" s="466"/>
      <c r="R781" s="477"/>
      <c r="S781" s="477"/>
      <c r="U781" s="478"/>
      <c r="V781" s="478"/>
      <c r="AD781" s="477"/>
    </row>
    <row r="782" spans="5:30">
      <c r="E782" s="465"/>
      <c r="F782" s="465"/>
      <c r="H782" s="466"/>
      <c r="I782" s="466"/>
      <c r="R782" s="477"/>
      <c r="S782" s="477"/>
      <c r="U782" s="478"/>
      <c r="V782" s="478"/>
      <c r="AD782" s="477"/>
    </row>
    <row r="783" spans="5:30">
      <c r="E783" s="465"/>
      <c r="F783" s="465"/>
      <c r="H783" s="466"/>
      <c r="I783" s="466"/>
      <c r="R783" s="477"/>
      <c r="S783" s="477"/>
      <c r="U783" s="478"/>
      <c r="V783" s="478"/>
      <c r="AD783" s="477"/>
    </row>
    <row r="784" spans="5:30">
      <c r="E784" s="465"/>
      <c r="F784" s="465"/>
      <c r="H784" s="466"/>
      <c r="I784" s="466"/>
      <c r="R784" s="477"/>
      <c r="S784" s="477"/>
      <c r="U784" s="478"/>
      <c r="V784" s="478"/>
      <c r="AD784" s="477"/>
    </row>
    <row r="785" spans="5:30">
      <c r="E785" s="465"/>
      <c r="F785" s="465"/>
      <c r="H785" s="466"/>
      <c r="I785" s="466"/>
      <c r="R785" s="477"/>
      <c r="S785" s="477"/>
      <c r="U785" s="478"/>
      <c r="V785" s="478"/>
      <c r="AD785" s="477"/>
    </row>
    <row r="786" spans="5:30">
      <c r="E786" s="465"/>
      <c r="F786" s="465"/>
      <c r="H786" s="466"/>
      <c r="I786" s="466"/>
      <c r="R786" s="477"/>
      <c r="S786" s="477"/>
      <c r="U786" s="478"/>
      <c r="V786" s="478"/>
      <c r="AD786" s="477"/>
    </row>
    <row r="787" spans="5:30">
      <c r="E787" s="465"/>
      <c r="F787" s="465"/>
      <c r="H787" s="466"/>
      <c r="I787" s="466"/>
      <c r="R787" s="477"/>
      <c r="S787" s="477"/>
      <c r="U787" s="478"/>
      <c r="V787" s="478"/>
      <c r="AD787" s="477"/>
    </row>
    <row r="788" spans="5:30">
      <c r="E788" s="465"/>
      <c r="F788" s="465"/>
      <c r="H788" s="466"/>
      <c r="I788" s="466"/>
      <c r="R788" s="477"/>
      <c r="S788" s="477"/>
      <c r="U788" s="478"/>
      <c r="V788" s="478"/>
      <c r="AD788" s="477"/>
    </row>
    <row r="789" spans="5:30">
      <c r="E789" s="465"/>
      <c r="F789" s="465"/>
      <c r="H789" s="466"/>
      <c r="I789" s="466"/>
      <c r="R789" s="477"/>
      <c r="S789" s="477"/>
      <c r="U789" s="478"/>
      <c r="V789" s="478"/>
      <c r="AD789" s="477"/>
    </row>
    <row r="790" spans="5:30">
      <c r="E790" s="465"/>
      <c r="F790" s="465"/>
      <c r="H790" s="466"/>
      <c r="I790" s="466"/>
      <c r="R790" s="477"/>
      <c r="S790" s="477"/>
      <c r="U790" s="478"/>
      <c r="V790" s="478"/>
      <c r="AD790" s="477"/>
    </row>
    <row r="791" spans="5:30">
      <c r="E791" s="465"/>
      <c r="F791" s="465"/>
      <c r="H791" s="466"/>
      <c r="I791" s="466"/>
      <c r="R791" s="477"/>
      <c r="S791" s="477"/>
      <c r="U791" s="478"/>
      <c r="V791" s="478"/>
      <c r="AD791" s="477"/>
    </row>
    <row r="792" spans="5:30">
      <c r="E792" s="465"/>
      <c r="F792" s="465"/>
      <c r="H792" s="466"/>
      <c r="I792" s="466"/>
      <c r="R792" s="477"/>
      <c r="S792" s="477"/>
      <c r="U792" s="478"/>
      <c r="V792" s="478"/>
      <c r="AD792" s="477"/>
    </row>
    <row r="793" spans="5:30">
      <c r="E793" s="465"/>
      <c r="F793" s="465"/>
      <c r="H793" s="466"/>
      <c r="I793" s="466"/>
      <c r="R793" s="477"/>
      <c r="S793" s="477"/>
      <c r="U793" s="478"/>
      <c r="V793" s="478"/>
      <c r="AD793" s="477"/>
    </row>
    <row r="794" spans="5:30">
      <c r="E794" s="465"/>
      <c r="F794" s="465"/>
      <c r="H794" s="466"/>
      <c r="I794" s="466"/>
      <c r="R794" s="477"/>
      <c r="S794" s="477"/>
      <c r="U794" s="478"/>
      <c r="V794" s="478"/>
      <c r="AD794" s="477"/>
    </row>
    <row r="795" spans="5:30">
      <c r="E795" s="465"/>
      <c r="F795" s="465"/>
      <c r="H795" s="466"/>
      <c r="I795" s="466"/>
      <c r="R795" s="477"/>
      <c r="S795" s="477"/>
      <c r="U795" s="478"/>
      <c r="V795" s="478"/>
      <c r="AD795" s="477"/>
    </row>
    <row r="796" spans="5:30">
      <c r="E796" s="465"/>
      <c r="F796" s="465"/>
      <c r="H796" s="466"/>
      <c r="I796" s="466"/>
      <c r="R796" s="477"/>
      <c r="S796" s="477"/>
      <c r="U796" s="478"/>
      <c r="V796" s="478"/>
      <c r="AD796" s="477"/>
    </row>
    <row r="797" spans="5:30">
      <c r="E797" s="465"/>
      <c r="F797" s="465"/>
      <c r="H797" s="466"/>
      <c r="I797" s="466"/>
      <c r="R797" s="477"/>
      <c r="S797" s="477"/>
      <c r="U797" s="478"/>
      <c r="V797" s="478"/>
      <c r="AD797" s="477"/>
    </row>
    <row r="798" spans="5:30">
      <c r="E798" s="465"/>
      <c r="F798" s="465"/>
      <c r="H798" s="466"/>
      <c r="I798" s="466"/>
      <c r="R798" s="477"/>
      <c r="S798" s="477"/>
      <c r="U798" s="478"/>
      <c r="V798" s="478"/>
      <c r="AD798" s="477"/>
    </row>
    <row r="799" spans="5:30">
      <c r="E799" s="465"/>
      <c r="F799" s="465"/>
      <c r="H799" s="466"/>
      <c r="I799" s="466"/>
      <c r="R799" s="477"/>
      <c r="S799" s="477"/>
      <c r="U799" s="478"/>
      <c r="V799" s="478"/>
      <c r="AD799" s="477"/>
    </row>
    <row r="800" spans="5:30">
      <c r="E800" s="465"/>
      <c r="F800" s="465"/>
      <c r="H800" s="466"/>
      <c r="I800" s="466"/>
      <c r="R800" s="477"/>
      <c r="S800" s="477"/>
      <c r="U800" s="478"/>
      <c r="V800" s="478"/>
      <c r="AD800" s="477"/>
    </row>
    <row r="801" spans="5:40">
      <c r="E801" s="465"/>
      <c r="F801" s="465"/>
      <c r="H801" s="466"/>
      <c r="I801" s="466"/>
      <c r="R801" s="477"/>
      <c r="S801" s="477"/>
      <c r="U801" s="478"/>
      <c r="V801" s="478"/>
      <c r="AD801" s="477"/>
    </row>
    <row r="802" spans="5:40">
      <c r="E802" s="465"/>
      <c r="F802" s="465"/>
      <c r="H802" s="466"/>
      <c r="I802" s="466"/>
      <c r="R802" s="477"/>
      <c r="S802" s="477"/>
      <c r="U802" s="478"/>
      <c r="V802" s="478"/>
      <c r="AD802" s="477"/>
    </row>
    <row r="803" spans="5:40">
      <c r="E803" s="465"/>
      <c r="F803" s="465"/>
      <c r="H803" s="466"/>
      <c r="I803" s="466"/>
      <c r="R803" s="477"/>
      <c r="S803" s="477"/>
      <c r="U803" s="478"/>
      <c r="V803" s="478"/>
      <c r="AD803" s="477"/>
    </row>
    <row r="804" spans="5:40">
      <c r="E804" s="465"/>
      <c r="F804" s="465"/>
      <c r="H804" s="466"/>
      <c r="I804" s="466"/>
      <c r="R804" s="477"/>
      <c r="S804" s="477"/>
      <c r="U804" s="478"/>
      <c r="V804" s="478"/>
      <c r="AD804" s="477"/>
    </row>
    <row r="805" spans="5:40">
      <c r="E805" s="465"/>
      <c r="F805" s="465"/>
      <c r="H805" s="466"/>
      <c r="I805" s="466"/>
      <c r="R805" s="477"/>
      <c r="S805" s="477"/>
      <c r="U805" s="478"/>
      <c r="V805" s="478"/>
      <c r="AD805" s="477"/>
    </row>
    <row r="806" spans="5:40">
      <c r="E806" s="465"/>
      <c r="F806" s="465"/>
      <c r="H806" s="466"/>
      <c r="I806" s="466"/>
      <c r="R806" s="477"/>
      <c r="S806" s="477"/>
      <c r="U806" s="478"/>
      <c r="V806" s="478"/>
      <c r="AD806" s="477"/>
    </row>
    <row r="807" spans="5:40">
      <c r="E807" s="465"/>
      <c r="F807" s="465"/>
      <c r="H807" s="466"/>
      <c r="I807" s="466"/>
      <c r="R807" s="477"/>
      <c r="S807" s="477"/>
      <c r="U807" s="478"/>
      <c r="V807" s="478"/>
      <c r="AD807" s="477"/>
    </row>
    <row r="808" spans="5:40">
      <c r="E808" s="465"/>
      <c r="F808" s="465"/>
      <c r="H808" s="466"/>
      <c r="I808" s="466"/>
      <c r="R808" s="477"/>
      <c r="S808" s="477"/>
      <c r="U808" s="478"/>
      <c r="V808" s="478"/>
      <c r="AD808" s="477"/>
    </row>
    <row r="809" spans="5:40">
      <c r="E809" s="465"/>
      <c r="F809" s="465"/>
      <c r="H809" s="466"/>
      <c r="I809" s="466"/>
      <c r="R809" s="477"/>
      <c r="S809" s="477"/>
      <c r="U809" s="478"/>
      <c r="V809" s="478"/>
      <c r="AD809" s="477"/>
    </row>
    <row r="810" spans="5:40">
      <c r="E810" s="465"/>
      <c r="F810" s="465"/>
      <c r="I810" s="466"/>
      <c r="R810" s="477"/>
      <c r="S810" s="477"/>
      <c r="U810" s="478"/>
      <c r="V810" s="478"/>
      <c r="AD810" s="477"/>
    </row>
    <row r="811" spans="5:40">
      <c r="E811" s="465"/>
      <c r="F811" s="465"/>
      <c r="H811" s="466"/>
      <c r="R811" s="477"/>
      <c r="S811" s="477"/>
      <c r="U811" s="478"/>
      <c r="V811" s="478"/>
      <c r="AD811" s="477"/>
    </row>
    <row r="812" spans="5:40">
      <c r="E812" s="465"/>
      <c r="F812" s="465"/>
      <c r="H812" s="466"/>
      <c r="R812" s="477"/>
      <c r="S812" s="477"/>
      <c r="U812" s="478"/>
      <c r="V812" s="478"/>
      <c r="AD812" s="477"/>
    </row>
    <row r="813" spans="5:40">
      <c r="E813" s="465"/>
      <c r="F813" s="465"/>
      <c r="H813" s="466"/>
      <c r="R813" s="477"/>
      <c r="S813" s="477"/>
      <c r="U813" s="478"/>
      <c r="V813" s="478"/>
      <c r="AD813" s="477"/>
    </row>
    <row r="814" spans="5:40">
      <c r="E814" s="465"/>
      <c r="F814" s="465"/>
      <c r="H814" s="466"/>
      <c r="R814" s="477"/>
      <c r="S814" s="477"/>
      <c r="U814" s="478"/>
      <c r="V814" s="478"/>
      <c r="AD814" s="477"/>
    </row>
    <row r="815" spans="5:40">
      <c r="E815" s="465"/>
      <c r="F815" s="465"/>
      <c r="H815" s="466"/>
      <c r="R815" s="477"/>
      <c r="S815" s="477"/>
      <c r="U815" s="478"/>
      <c r="V815" s="478"/>
      <c r="AD815" s="477"/>
    </row>
    <row r="816" spans="5:40">
      <c r="E816" s="465"/>
      <c r="F816" s="465"/>
      <c r="G816" s="477"/>
      <c r="H816" s="466"/>
      <c r="J816" s="477"/>
      <c r="K816" s="477"/>
      <c r="N816" s="477"/>
      <c r="O816" s="477"/>
      <c r="P816" s="477"/>
      <c r="Q816" s="477"/>
      <c r="R816" s="477"/>
      <c r="S816" s="477"/>
      <c r="T816" s="477"/>
      <c r="U816" s="477"/>
      <c r="V816" s="477"/>
      <c r="AD816" s="477"/>
      <c r="AE816" s="477"/>
      <c r="AF816" s="477"/>
      <c r="AG816" s="477"/>
      <c r="AH816" s="477"/>
      <c r="AJ816" s="477"/>
      <c r="AK816" s="477"/>
      <c r="AL816" s="477"/>
      <c r="AM816" s="477"/>
      <c r="AN816" s="477"/>
    </row>
    <row r="817" spans="5:30">
      <c r="E817" s="465"/>
      <c r="F817" s="465"/>
      <c r="H817" s="466"/>
      <c r="I817" s="466"/>
      <c r="R817" s="477"/>
      <c r="S817" s="477"/>
      <c r="U817" s="478"/>
      <c r="V817" s="478"/>
      <c r="AD817" s="477"/>
    </row>
    <row r="818" spans="5:30">
      <c r="E818" s="465"/>
      <c r="F818" s="465"/>
      <c r="H818" s="466"/>
      <c r="I818" s="466"/>
      <c r="R818" s="477"/>
      <c r="S818" s="477"/>
      <c r="U818" s="478"/>
      <c r="V818" s="478"/>
      <c r="AD818" s="477"/>
    </row>
    <row r="819" spans="5:30">
      <c r="E819" s="465"/>
      <c r="F819" s="465"/>
      <c r="H819" s="466"/>
      <c r="I819" s="466"/>
      <c r="R819" s="477"/>
      <c r="S819" s="477"/>
      <c r="U819" s="478"/>
      <c r="V819" s="478"/>
      <c r="AD819" s="477"/>
    </row>
    <row r="820" spans="5:30">
      <c r="E820" s="465"/>
      <c r="F820" s="465"/>
      <c r="H820" s="466"/>
      <c r="I820" s="466"/>
      <c r="R820" s="477"/>
      <c r="S820" s="477"/>
      <c r="U820" s="478"/>
      <c r="V820" s="478"/>
      <c r="AD820" s="477"/>
    </row>
    <row r="821" spans="5:30">
      <c r="E821" s="465"/>
      <c r="F821" s="465"/>
      <c r="H821" s="466"/>
      <c r="I821" s="466"/>
      <c r="R821" s="477"/>
      <c r="S821" s="477"/>
      <c r="U821" s="478"/>
      <c r="V821" s="478"/>
      <c r="AD821" s="477"/>
    </row>
    <row r="822" spans="5:30">
      <c r="E822" s="465"/>
      <c r="F822" s="465"/>
      <c r="H822" s="466"/>
      <c r="I822" s="466"/>
      <c r="R822" s="477"/>
      <c r="S822" s="477"/>
      <c r="U822" s="478"/>
      <c r="V822" s="478"/>
      <c r="AD822" s="477"/>
    </row>
    <row r="823" spans="5:30">
      <c r="E823" s="465"/>
      <c r="F823" s="465"/>
      <c r="H823" s="466"/>
      <c r="I823" s="466"/>
      <c r="R823" s="477"/>
      <c r="S823" s="477"/>
      <c r="U823" s="478"/>
      <c r="V823" s="478"/>
      <c r="AD823" s="477"/>
    </row>
    <row r="824" spans="5:30">
      <c r="E824" s="465"/>
      <c r="F824" s="465"/>
      <c r="H824" s="466"/>
      <c r="I824" s="466"/>
      <c r="R824" s="477"/>
      <c r="S824" s="477"/>
      <c r="U824" s="478"/>
      <c r="V824" s="478"/>
      <c r="AD824" s="477"/>
    </row>
    <row r="825" spans="5:30">
      <c r="E825" s="465"/>
      <c r="F825" s="465"/>
      <c r="H825" s="466"/>
      <c r="I825" s="466"/>
      <c r="R825" s="477"/>
      <c r="S825" s="477"/>
      <c r="U825" s="478"/>
      <c r="V825" s="478"/>
      <c r="AD825" s="477"/>
    </row>
    <row r="826" spans="5:30">
      <c r="E826" s="465"/>
      <c r="F826" s="465"/>
      <c r="H826" s="466"/>
      <c r="I826" s="466"/>
      <c r="R826" s="477"/>
      <c r="S826" s="477"/>
      <c r="U826" s="478"/>
      <c r="V826" s="478"/>
      <c r="AD826" s="477"/>
    </row>
    <row r="827" spans="5:30">
      <c r="E827" s="465"/>
      <c r="F827" s="465"/>
      <c r="H827" s="466"/>
      <c r="I827" s="466"/>
      <c r="R827" s="477"/>
      <c r="S827" s="477"/>
      <c r="U827" s="478"/>
      <c r="V827" s="478"/>
      <c r="AD827" s="477"/>
    </row>
    <row r="828" spans="5:30">
      <c r="E828" s="465"/>
      <c r="F828" s="465"/>
      <c r="H828" s="466"/>
      <c r="I828" s="466"/>
      <c r="R828" s="477"/>
      <c r="S828" s="477"/>
      <c r="U828" s="478"/>
      <c r="V828" s="478"/>
      <c r="AD828" s="477"/>
    </row>
    <row r="829" spans="5:30">
      <c r="E829" s="465"/>
      <c r="F829" s="465"/>
      <c r="H829" s="466"/>
      <c r="I829" s="466"/>
      <c r="R829" s="477"/>
      <c r="S829" s="477"/>
      <c r="U829" s="478"/>
      <c r="V829" s="478"/>
      <c r="AD829" s="477"/>
    </row>
    <row r="830" spans="5:30">
      <c r="E830" s="465"/>
      <c r="F830" s="465"/>
      <c r="H830" s="466"/>
      <c r="I830" s="466"/>
      <c r="R830" s="477"/>
      <c r="S830" s="477"/>
      <c r="U830" s="478"/>
      <c r="V830" s="478"/>
      <c r="AD830" s="477"/>
    </row>
    <row r="831" spans="5:30">
      <c r="E831" s="465"/>
      <c r="F831" s="465"/>
      <c r="H831" s="466"/>
      <c r="I831" s="466"/>
      <c r="R831" s="477"/>
      <c r="S831" s="477"/>
      <c r="U831" s="478"/>
      <c r="V831" s="478"/>
      <c r="AD831" s="477"/>
    </row>
    <row r="832" spans="5:30">
      <c r="E832" s="465"/>
      <c r="F832" s="465"/>
      <c r="H832" s="466"/>
      <c r="I832" s="466"/>
      <c r="R832" s="477"/>
      <c r="S832" s="477"/>
      <c r="U832" s="478"/>
      <c r="V832" s="478"/>
      <c r="AD832" s="477"/>
    </row>
    <row r="833" spans="5:30">
      <c r="E833" s="465"/>
      <c r="F833" s="465"/>
      <c r="H833" s="466"/>
      <c r="I833" s="466"/>
      <c r="R833" s="477"/>
      <c r="S833" s="477"/>
      <c r="U833" s="478"/>
      <c r="V833" s="478"/>
      <c r="AD833" s="477"/>
    </row>
    <row r="834" spans="5:30">
      <c r="E834" s="465"/>
      <c r="F834" s="465"/>
      <c r="H834" s="466"/>
      <c r="I834" s="466"/>
      <c r="R834" s="477"/>
      <c r="S834" s="477"/>
      <c r="U834" s="478"/>
      <c r="V834" s="478"/>
      <c r="AD834" s="477"/>
    </row>
    <row r="835" spans="5:30">
      <c r="E835" s="465"/>
      <c r="F835" s="465"/>
      <c r="H835" s="466"/>
      <c r="I835" s="466"/>
      <c r="R835" s="477"/>
      <c r="S835" s="477"/>
      <c r="U835" s="478"/>
      <c r="V835" s="478"/>
      <c r="AD835" s="477"/>
    </row>
    <row r="836" spans="5:30">
      <c r="E836" s="465"/>
      <c r="F836" s="465"/>
      <c r="H836" s="466"/>
      <c r="I836" s="466"/>
      <c r="R836" s="477"/>
      <c r="S836" s="477"/>
      <c r="U836" s="478"/>
      <c r="V836" s="478"/>
      <c r="AD836" s="477"/>
    </row>
    <row r="837" spans="5:30">
      <c r="E837" s="465"/>
      <c r="F837" s="465"/>
      <c r="H837" s="466"/>
      <c r="I837" s="466"/>
      <c r="R837" s="477"/>
      <c r="S837" s="477"/>
      <c r="U837" s="478"/>
      <c r="V837" s="478"/>
      <c r="AD837" s="477"/>
    </row>
    <row r="838" spans="5:30">
      <c r="E838" s="465"/>
      <c r="F838" s="465"/>
      <c r="H838" s="466"/>
      <c r="I838" s="466"/>
      <c r="R838" s="477"/>
      <c r="S838" s="477"/>
      <c r="U838" s="478"/>
      <c r="V838" s="478"/>
      <c r="AD838" s="477"/>
    </row>
    <row r="839" spans="5:30">
      <c r="E839" s="465"/>
      <c r="F839" s="465"/>
      <c r="H839" s="466"/>
      <c r="I839" s="466"/>
      <c r="R839" s="477"/>
      <c r="S839" s="477"/>
      <c r="U839" s="478"/>
      <c r="V839" s="478"/>
      <c r="AD839" s="477"/>
    </row>
    <row r="840" spans="5:30">
      <c r="E840" s="465"/>
      <c r="F840" s="465"/>
      <c r="H840" s="466"/>
      <c r="I840" s="466"/>
      <c r="R840" s="477"/>
      <c r="S840" s="477"/>
      <c r="U840" s="478"/>
      <c r="V840" s="478"/>
      <c r="AD840" s="477"/>
    </row>
    <row r="841" spans="5:30">
      <c r="E841" s="465"/>
      <c r="F841" s="465"/>
      <c r="H841" s="466"/>
      <c r="I841" s="466"/>
      <c r="R841" s="477"/>
      <c r="S841" s="477"/>
      <c r="U841" s="478"/>
      <c r="V841" s="478"/>
      <c r="AD841" s="477"/>
    </row>
    <row r="842" spans="5:30">
      <c r="E842" s="465"/>
      <c r="F842" s="465"/>
      <c r="H842" s="466"/>
      <c r="I842" s="466"/>
      <c r="R842" s="477"/>
      <c r="S842" s="477"/>
      <c r="U842" s="478"/>
      <c r="V842" s="478"/>
      <c r="AD842" s="477"/>
    </row>
    <row r="843" spans="5:30">
      <c r="E843" s="465"/>
      <c r="F843" s="465"/>
      <c r="H843" s="466"/>
      <c r="I843" s="466"/>
      <c r="R843" s="477"/>
      <c r="S843" s="477"/>
      <c r="U843" s="478"/>
      <c r="V843" s="478"/>
      <c r="AD843" s="477"/>
    </row>
    <row r="844" spans="5:30">
      <c r="E844" s="465"/>
      <c r="F844" s="465"/>
      <c r="H844" s="466"/>
      <c r="I844" s="466"/>
      <c r="R844" s="477"/>
      <c r="S844" s="477"/>
      <c r="U844" s="478"/>
      <c r="V844" s="478"/>
      <c r="AD844" s="477"/>
    </row>
    <row r="845" spans="5:30">
      <c r="E845" s="465"/>
      <c r="F845" s="465"/>
      <c r="H845" s="466"/>
      <c r="I845" s="466"/>
      <c r="R845" s="477"/>
      <c r="S845" s="477"/>
      <c r="U845" s="478"/>
      <c r="V845" s="478"/>
      <c r="AD845" s="477"/>
    </row>
    <row r="846" spans="5:30">
      <c r="E846" s="465"/>
      <c r="F846" s="465"/>
      <c r="H846" s="466"/>
      <c r="I846" s="466"/>
      <c r="R846" s="477"/>
      <c r="S846" s="477"/>
      <c r="U846" s="478"/>
      <c r="V846" s="478"/>
      <c r="AD846" s="477"/>
    </row>
    <row r="847" spans="5:30">
      <c r="E847" s="465"/>
      <c r="F847" s="465"/>
      <c r="H847" s="466"/>
      <c r="I847" s="466"/>
      <c r="R847" s="477"/>
      <c r="S847" s="477"/>
      <c r="U847" s="478"/>
      <c r="V847" s="478"/>
      <c r="AD847" s="477"/>
    </row>
    <row r="848" spans="5:30">
      <c r="E848" s="465"/>
      <c r="F848" s="465"/>
      <c r="H848" s="466"/>
      <c r="I848" s="466"/>
      <c r="R848" s="477"/>
      <c r="S848" s="477"/>
      <c r="U848" s="478"/>
      <c r="V848" s="478"/>
      <c r="AD848" s="477"/>
    </row>
    <row r="849" spans="5:30">
      <c r="E849" s="465"/>
      <c r="F849" s="465"/>
      <c r="H849" s="466"/>
      <c r="I849" s="466"/>
      <c r="R849" s="477"/>
      <c r="S849" s="477"/>
      <c r="U849" s="478"/>
      <c r="V849" s="478"/>
      <c r="AD849" s="477"/>
    </row>
    <row r="850" spans="5:30">
      <c r="E850" s="465"/>
      <c r="F850" s="465"/>
      <c r="H850" s="466"/>
      <c r="I850" s="466"/>
      <c r="R850" s="477"/>
      <c r="S850" s="477"/>
      <c r="U850" s="478"/>
      <c r="V850" s="478"/>
      <c r="AD850" s="477"/>
    </row>
    <row r="851" spans="5:30">
      <c r="E851" s="465"/>
      <c r="F851" s="465"/>
      <c r="H851" s="466"/>
      <c r="I851" s="466"/>
      <c r="R851" s="477"/>
      <c r="S851" s="477"/>
      <c r="U851" s="478"/>
      <c r="V851" s="478"/>
      <c r="AD851" s="477"/>
    </row>
    <row r="852" spans="5:30">
      <c r="E852" s="465"/>
      <c r="F852" s="465"/>
      <c r="H852" s="466"/>
      <c r="I852" s="466"/>
      <c r="R852" s="477"/>
      <c r="S852" s="477"/>
      <c r="U852" s="478"/>
      <c r="V852" s="478"/>
      <c r="AD852" s="477"/>
    </row>
    <row r="853" spans="5:30">
      <c r="E853" s="465"/>
      <c r="F853" s="465"/>
      <c r="H853" s="466"/>
      <c r="I853" s="466"/>
      <c r="R853" s="477"/>
      <c r="S853" s="477"/>
      <c r="U853" s="478"/>
      <c r="V853" s="478"/>
      <c r="AD853" s="477"/>
    </row>
    <row r="854" spans="5:30">
      <c r="E854" s="465"/>
      <c r="F854" s="465"/>
      <c r="H854" s="466"/>
      <c r="I854" s="466"/>
      <c r="R854" s="477"/>
      <c r="S854" s="477"/>
      <c r="U854" s="478"/>
      <c r="V854" s="478"/>
      <c r="AD854" s="477"/>
    </row>
    <row r="855" spans="5:30">
      <c r="E855" s="465"/>
      <c r="F855" s="465"/>
      <c r="H855" s="466"/>
      <c r="I855" s="466"/>
      <c r="R855" s="477"/>
      <c r="S855" s="477"/>
      <c r="U855" s="478"/>
      <c r="V855" s="478"/>
      <c r="AD855" s="477"/>
    </row>
    <row r="856" spans="5:30">
      <c r="E856" s="465"/>
      <c r="F856" s="465"/>
      <c r="H856" s="466"/>
      <c r="I856" s="466"/>
      <c r="R856" s="477"/>
      <c r="S856" s="477"/>
      <c r="U856" s="478"/>
      <c r="V856" s="478"/>
      <c r="AD856" s="477"/>
    </row>
    <row r="857" spans="5:30">
      <c r="E857" s="465"/>
      <c r="F857" s="465"/>
      <c r="H857" s="466"/>
      <c r="I857" s="466"/>
      <c r="R857" s="477"/>
      <c r="S857" s="477"/>
      <c r="U857" s="478"/>
      <c r="V857" s="478"/>
      <c r="AD857" s="477"/>
    </row>
    <row r="858" spans="5:30">
      <c r="E858" s="465"/>
      <c r="F858" s="465"/>
      <c r="H858" s="466"/>
      <c r="I858" s="466"/>
      <c r="R858" s="477"/>
      <c r="S858" s="477"/>
      <c r="U858" s="478"/>
      <c r="V858" s="478"/>
      <c r="AD858" s="477"/>
    </row>
    <row r="859" spans="5:30">
      <c r="E859" s="465"/>
      <c r="F859" s="465"/>
      <c r="H859" s="466"/>
      <c r="I859" s="466"/>
      <c r="R859" s="477"/>
      <c r="S859" s="477"/>
      <c r="U859" s="478"/>
      <c r="V859" s="478"/>
      <c r="AD859" s="477"/>
    </row>
    <row r="860" spans="5:30">
      <c r="E860" s="465"/>
      <c r="F860" s="465"/>
      <c r="H860" s="466"/>
      <c r="I860" s="466"/>
      <c r="R860" s="477"/>
      <c r="S860" s="477"/>
      <c r="U860" s="478"/>
      <c r="V860" s="478"/>
      <c r="AD860" s="477"/>
    </row>
    <row r="861" spans="5:30">
      <c r="E861" s="465"/>
      <c r="F861" s="465"/>
      <c r="H861" s="466"/>
      <c r="I861" s="466"/>
      <c r="R861" s="477"/>
      <c r="S861" s="477"/>
      <c r="U861" s="478"/>
      <c r="V861" s="478"/>
      <c r="AD861" s="477"/>
    </row>
    <row r="862" spans="5:30">
      <c r="E862" s="465"/>
      <c r="F862" s="465"/>
      <c r="H862" s="466"/>
      <c r="I862" s="466"/>
      <c r="R862" s="477"/>
      <c r="S862" s="477"/>
      <c r="U862" s="478"/>
      <c r="V862" s="478"/>
      <c r="AD862" s="477"/>
    </row>
    <row r="863" spans="5:30">
      <c r="E863" s="465"/>
      <c r="F863" s="465"/>
      <c r="H863" s="466"/>
      <c r="I863" s="466"/>
      <c r="R863" s="477"/>
      <c r="S863" s="477"/>
      <c r="U863" s="478"/>
      <c r="V863" s="478"/>
      <c r="AD863" s="477"/>
    </row>
    <row r="864" spans="5:30">
      <c r="E864" s="465"/>
      <c r="F864" s="465"/>
      <c r="H864" s="466"/>
      <c r="I864" s="466"/>
      <c r="R864" s="477"/>
      <c r="S864" s="477"/>
      <c r="U864" s="478"/>
      <c r="V864" s="478"/>
      <c r="AD864" s="477"/>
    </row>
    <row r="865" spans="5:30">
      <c r="E865" s="465"/>
      <c r="F865" s="465"/>
      <c r="H865" s="466"/>
      <c r="I865" s="466"/>
      <c r="R865" s="477"/>
      <c r="S865" s="477"/>
      <c r="U865" s="478"/>
      <c r="V865" s="478"/>
      <c r="AD865" s="477"/>
    </row>
    <row r="866" spans="5:30">
      <c r="E866" s="465"/>
      <c r="F866" s="465"/>
      <c r="H866" s="466"/>
      <c r="I866" s="466"/>
      <c r="R866" s="477"/>
      <c r="S866" s="477"/>
      <c r="U866" s="478"/>
      <c r="V866" s="478"/>
      <c r="AD866" s="477"/>
    </row>
    <row r="867" spans="5:30">
      <c r="E867" s="465"/>
      <c r="F867" s="465"/>
      <c r="H867" s="466"/>
      <c r="I867" s="466"/>
      <c r="R867" s="477"/>
      <c r="S867" s="477"/>
      <c r="U867" s="478"/>
      <c r="V867" s="478"/>
      <c r="AD867" s="477"/>
    </row>
    <row r="868" spans="5:30">
      <c r="E868" s="465"/>
      <c r="F868" s="465"/>
      <c r="H868" s="466"/>
      <c r="I868" s="466"/>
      <c r="R868" s="477"/>
      <c r="S868" s="477"/>
      <c r="U868" s="478"/>
      <c r="V868" s="478"/>
      <c r="AD868" s="477"/>
    </row>
    <row r="869" spans="5:30">
      <c r="E869" s="465"/>
      <c r="F869" s="465"/>
      <c r="H869" s="466"/>
      <c r="I869" s="466"/>
      <c r="R869" s="477"/>
      <c r="S869" s="477"/>
      <c r="U869" s="478"/>
      <c r="V869" s="478"/>
      <c r="AD869" s="477"/>
    </row>
    <row r="870" spans="5:30">
      <c r="E870" s="465"/>
      <c r="F870" s="465"/>
      <c r="H870" s="466"/>
      <c r="I870" s="466"/>
      <c r="R870" s="477"/>
      <c r="S870" s="477"/>
      <c r="U870" s="478"/>
      <c r="V870" s="478"/>
      <c r="AD870" s="477"/>
    </row>
    <row r="871" spans="5:30">
      <c r="E871" s="465"/>
      <c r="F871" s="465"/>
      <c r="H871" s="466"/>
      <c r="I871" s="466"/>
      <c r="R871" s="477"/>
      <c r="S871" s="477"/>
      <c r="U871" s="478"/>
      <c r="V871" s="478"/>
      <c r="AD871" s="477"/>
    </row>
    <row r="872" spans="5:30">
      <c r="E872" s="465"/>
      <c r="F872" s="465"/>
      <c r="H872" s="466"/>
      <c r="I872" s="466"/>
      <c r="R872" s="477"/>
      <c r="S872" s="477"/>
      <c r="U872" s="478"/>
      <c r="V872" s="478"/>
      <c r="AD872" s="477"/>
    </row>
    <row r="873" spans="5:30">
      <c r="E873" s="465"/>
      <c r="F873" s="465"/>
      <c r="H873" s="466"/>
      <c r="I873" s="466"/>
      <c r="R873" s="477"/>
      <c r="S873" s="477"/>
      <c r="U873" s="478"/>
      <c r="V873" s="478"/>
      <c r="AD873" s="477"/>
    </row>
    <row r="874" spans="5:30">
      <c r="E874" s="465"/>
      <c r="F874" s="465"/>
      <c r="H874" s="466"/>
      <c r="I874" s="466"/>
      <c r="R874" s="477"/>
      <c r="S874" s="477"/>
      <c r="U874" s="478"/>
      <c r="V874" s="478"/>
      <c r="AD874" s="477"/>
    </row>
    <row r="875" spans="5:30">
      <c r="E875" s="465"/>
      <c r="F875" s="465"/>
      <c r="H875" s="466"/>
      <c r="I875" s="466"/>
      <c r="R875" s="477"/>
      <c r="S875" s="477"/>
      <c r="U875" s="478"/>
      <c r="V875" s="478"/>
      <c r="AD875" s="477"/>
    </row>
    <row r="876" spans="5:30">
      <c r="E876" s="465"/>
      <c r="F876" s="465"/>
      <c r="H876" s="466"/>
      <c r="I876" s="466"/>
      <c r="R876" s="477"/>
      <c r="S876" s="477"/>
      <c r="U876" s="478"/>
      <c r="V876" s="478"/>
      <c r="AD876" s="477"/>
    </row>
    <row r="877" spans="5:30">
      <c r="E877" s="465"/>
      <c r="F877" s="465"/>
      <c r="H877" s="466"/>
      <c r="I877" s="466"/>
      <c r="R877" s="477"/>
      <c r="S877" s="477"/>
      <c r="U877" s="478"/>
      <c r="V877" s="478"/>
      <c r="AD877" s="477"/>
    </row>
    <row r="878" spans="5:30">
      <c r="E878" s="465"/>
      <c r="F878" s="465"/>
      <c r="H878" s="466"/>
      <c r="I878" s="466"/>
      <c r="R878" s="477"/>
      <c r="S878" s="477"/>
      <c r="U878" s="478"/>
      <c r="V878" s="478"/>
      <c r="AD878" s="477"/>
    </row>
    <row r="879" spans="5:30">
      <c r="E879" s="465"/>
      <c r="F879" s="465"/>
      <c r="H879" s="466"/>
      <c r="I879" s="466"/>
      <c r="R879" s="477"/>
      <c r="S879" s="477"/>
      <c r="U879" s="478"/>
      <c r="V879" s="478"/>
      <c r="AD879" s="477"/>
    </row>
    <row r="880" spans="5:30">
      <c r="E880" s="465"/>
      <c r="F880" s="465"/>
      <c r="H880" s="466"/>
      <c r="I880" s="466"/>
      <c r="R880" s="477"/>
      <c r="S880" s="477"/>
      <c r="U880" s="478"/>
      <c r="V880" s="478"/>
      <c r="AD880" s="477"/>
    </row>
    <row r="881" spans="5:30">
      <c r="E881" s="465"/>
      <c r="F881" s="465"/>
      <c r="H881" s="466"/>
      <c r="I881" s="466"/>
      <c r="R881" s="477"/>
      <c r="S881" s="477"/>
      <c r="U881" s="478"/>
      <c r="V881" s="478"/>
      <c r="AD881" s="477"/>
    </row>
    <row r="882" spans="5:30">
      <c r="E882" s="465"/>
      <c r="F882" s="465"/>
      <c r="H882" s="466"/>
      <c r="I882" s="466"/>
      <c r="R882" s="477"/>
      <c r="S882" s="477"/>
      <c r="U882" s="478"/>
      <c r="V882" s="478"/>
      <c r="AD882" s="477"/>
    </row>
    <row r="883" spans="5:30">
      <c r="E883" s="465"/>
      <c r="F883" s="465"/>
      <c r="H883" s="466"/>
      <c r="I883" s="466"/>
      <c r="R883" s="477"/>
      <c r="S883" s="477"/>
      <c r="U883" s="478"/>
      <c r="V883" s="478"/>
      <c r="AD883" s="477"/>
    </row>
    <row r="884" spans="5:30">
      <c r="E884" s="465"/>
      <c r="F884" s="465"/>
      <c r="H884" s="466"/>
      <c r="I884" s="466"/>
      <c r="R884" s="477"/>
      <c r="S884" s="477"/>
      <c r="U884" s="478"/>
      <c r="V884" s="478"/>
      <c r="AD884" s="477"/>
    </row>
    <row r="885" spans="5:30">
      <c r="E885" s="465"/>
      <c r="F885" s="465"/>
      <c r="H885" s="466"/>
      <c r="I885" s="466"/>
      <c r="R885" s="477"/>
      <c r="S885" s="477"/>
      <c r="U885" s="478"/>
      <c r="V885" s="478"/>
      <c r="AD885" s="477"/>
    </row>
    <row r="886" spans="5:30">
      <c r="E886" s="465"/>
      <c r="F886" s="465"/>
      <c r="H886" s="466"/>
      <c r="I886" s="466"/>
      <c r="R886" s="477"/>
      <c r="S886" s="477"/>
      <c r="U886" s="478"/>
      <c r="V886" s="478"/>
      <c r="AD886" s="477"/>
    </row>
    <row r="887" spans="5:30">
      <c r="E887" s="465"/>
      <c r="F887" s="465"/>
      <c r="H887" s="466"/>
      <c r="I887" s="466"/>
      <c r="R887" s="477"/>
      <c r="S887" s="477"/>
      <c r="U887" s="478"/>
      <c r="V887" s="478"/>
      <c r="AD887" s="477"/>
    </row>
    <row r="888" spans="5:30">
      <c r="E888" s="465"/>
      <c r="F888" s="465"/>
      <c r="H888" s="466"/>
      <c r="I888" s="466"/>
      <c r="R888" s="477"/>
      <c r="S888" s="477"/>
      <c r="U888" s="478"/>
      <c r="V888" s="478"/>
      <c r="AD888" s="477"/>
    </row>
    <row r="889" spans="5:30">
      <c r="E889" s="465"/>
      <c r="F889" s="465"/>
      <c r="H889" s="466"/>
      <c r="I889" s="466"/>
      <c r="R889" s="477"/>
      <c r="S889" s="477"/>
      <c r="U889" s="478"/>
      <c r="V889" s="478"/>
      <c r="AD889" s="477"/>
    </row>
    <row r="890" spans="5:30">
      <c r="E890" s="465"/>
      <c r="F890" s="465"/>
      <c r="H890" s="466"/>
      <c r="I890" s="466"/>
      <c r="R890" s="477"/>
      <c r="S890" s="477"/>
      <c r="U890" s="478"/>
      <c r="V890" s="478"/>
      <c r="AD890" s="477"/>
    </row>
    <row r="891" spans="5:30">
      <c r="E891" s="465"/>
      <c r="F891" s="465"/>
      <c r="H891" s="466"/>
      <c r="I891" s="466"/>
      <c r="R891" s="477"/>
      <c r="S891" s="477"/>
      <c r="U891" s="478"/>
      <c r="V891" s="478"/>
      <c r="AD891" s="477"/>
    </row>
    <row r="892" spans="5:30">
      <c r="E892" s="465"/>
      <c r="F892" s="465"/>
      <c r="H892" s="466"/>
      <c r="I892" s="466"/>
      <c r="R892" s="477"/>
      <c r="S892" s="477"/>
      <c r="U892" s="478"/>
      <c r="V892" s="478"/>
      <c r="AD892" s="477"/>
    </row>
    <row r="893" spans="5:30">
      <c r="E893" s="465"/>
      <c r="F893" s="465"/>
      <c r="H893" s="466"/>
      <c r="I893" s="466"/>
      <c r="R893" s="477"/>
      <c r="S893" s="477"/>
      <c r="U893" s="478"/>
      <c r="V893" s="478"/>
      <c r="AD893" s="477"/>
    </row>
    <row r="894" spans="5:30">
      <c r="E894" s="465"/>
      <c r="F894" s="465"/>
      <c r="H894" s="466"/>
      <c r="I894" s="466"/>
      <c r="R894" s="477"/>
      <c r="S894" s="477"/>
      <c r="U894" s="478"/>
      <c r="V894" s="478"/>
      <c r="AD894" s="477"/>
    </row>
    <row r="895" spans="5:30">
      <c r="E895" s="465"/>
      <c r="F895" s="465"/>
      <c r="H895" s="466"/>
      <c r="I895" s="466"/>
      <c r="R895" s="477"/>
      <c r="S895" s="477"/>
      <c r="U895" s="478"/>
      <c r="V895" s="478"/>
      <c r="AD895" s="477"/>
    </row>
    <row r="896" spans="5:30">
      <c r="E896" s="465"/>
      <c r="F896" s="465"/>
      <c r="H896" s="466"/>
      <c r="I896" s="466"/>
      <c r="R896" s="477"/>
      <c r="S896" s="477"/>
      <c r="U896" s="478"/>
      <c r="V896" s="478"/>
      <c r="AD896" s="477"/>
    </row>
    <row r="897" spans="5:40">
      <c r="E897" s="465"/>
      <c r="F897" s="465"/>
      <c r="H897" s="466"/>
      <c r="I897" s="466"/>
      <c r="R897" s="477"/>
      <c r="S897" s="477"/>
      <c r="U897" s="478"/>
      <c r="V897" s="478"/>
      <c r="AD897" s="477"/>
    </row>
    <row r="898" spans="5:40">
      <c r="E898" s="465"/>
      <c r="F898" s="465"/>
      <c r="H898" s="466"/>
      <c r="I898" s="466"/>
      <c r="R898" s="477"/>
      <c r="S898" s="477"/>
      <c r="U898" s="478"/>
      <c r="V898" s="478"/>
      <c r="AD898" s="477"/>
    </row>
    <row r="899" spans="5:40">
      <c r="E899" s="465"/>
      <c r="F899" s="465"/>
      <c r="H899" s="466"/>
      <c r="I899" s="466"/>
      <c r="R899" s="477"/>
      <c r="S899" s="477"/>
      <c r="U899" s="478"/>
      <c r="V899" s="478"/>
      <c r="AD899" s="477"/>
    </row>
    <row r="900" spans="5:40">
      <c r="E900" s="465"/>
      <c r="F900" s="465"/>
      <c r="G900" s="477"/>
      <c r="H900" s="466"/>
      <c r="I900" s="466"/>
      <c r="J900" s="477"/>
      <c r="K900" s="477"/>
      <c r="N900" s="477"/>
      <c r="O900" s="477"/>
      <c r="P900" s="477"/>
      <c r="Q900" s="477"/>
      <c r="R900" s="477"/>
      <c r="S900" s="477"/>
      <c r="T900" s="477"/>
      <c r="U900" s="477"/>
      <c r="V900" s="477"/>
      <c r="AD900" s="477"/>
      <c r="AE900" s="477"/>
      <c r="AF900" s="477"/>
      <c r="AG900" s="477"/>
      <c r="AH900" s="477"/>
      <c r="AJ900" s="477"/>
      <c r="AK900" s="477"/>
      <c r="AL900" s="477"/>
      <c r="AM900" s="477"/>
      <c r="AN900" s="477"/>
    </row>
    <row r="901" spans="5:40">
      <c r="E901" s="465"/>
      <c r="F901" s="465"/>
      <c r="H901" s="466"/>
      <c r="I901" s="466"/>
      <c r="R901" s="477"/>
      <c r="S901" s="477"/>
      <c r="U901" s="478"/>
      <c r="V901" s="478"/>
      <c r="AD901" s="477"/>
    </row>
    <row r="902" spans="5:40">
      <c r="E902" s="465"/>
      <c r="F902" s="465"/>
      <c r="H902" s="466"/>
      <c r="I902" s="466"/>
      <c r="R902" s="477"/>
      <c r="S902" s="477"/>
      <c r="U902" s="478"/>
      <c r="V902" s="478"/>
      <c r="AD902" s="477"/>
    </row>
    <row r="903" spans="5:40">
      <c r="E903" s="465"/>
      <c r="F903" s="465"/>
      <c r="H903" s="466"/>
      <c r="I903" s="466"/>
      <c r="R903" s="477"/>
      <c r="S903" s="477"/>
      <c r="U903" s="478"/>
      <c r="V903" s="478"/>
      <c r="AD903" s="477"/>
    </row>
    <row r="904" spans="5:40">
      <c r="E904" s="465"/>
      <c r="F904" s="465"/>
      <c r="H904" s="466"/>
      <c r="I904" s="466"/>
      <c r="R904" s="477"/>
      <c r="S904" s="477"/>
      <c r="U904" s="478"/>
      <c r="V904" s="478"/>
      <c r="AD904" s="477"/>
    </row>
    <row r="905" spans="5:40">
      <c r="E905" s="465"/>
      <c r="F905" s="465"/>
      <c r="H905" s="466"/>
      <c r="I905" s="466"/>
      <c r="R905" s="477"/>
      <c r="S905" s="477"/>
      <c r="U905" s="478"/>
      <c r="V905" s="478"/>
      <c r="AD905" s="477"/>
    </row>
    <row r="906" spans="5:40">
      <c r="E906" s="465"/>
      <c r="F906" s="465"/>
      <c r="H906" s="466"/>
      <c r="I906" s="466"/>
      <c r="R906" s="477"/>
      <c r="S906" s="477"/>
      <c r="U906" s="478"/>
      <c r="V906" s="478"/>
      <c r="AD906" s="477"/>
    </row>
    <row r="907" spans="5:40">
      <c r="E907" s="465"/>
      <c r="F907" s="465"/>
      <c r="H907" s="466"/>
      <c r="I907" s="466"/>
      <c r="R907" s="477"/>
      <c r="S907" s="477"/>
      <c r="U907" s="478"/>
      <c r="V907" s="478"/>
      <c r="AD907" s="477"/>
    </row>
    <row r="908" spans="5:40">
      <c r="E908" s="465"/>
      <c r="F908" s="465"/>
      <c r="H908" s="466"/>
      <c r="I908" s="466"/>
      <c r="R908" s="477"/>
      <c r="S908" s="477"/>
      <c r="U908" s="478"/>
      <c r="V908" s="478"/>
      <c r="AD908" s="477"/>
    </row>
    <row r="909" spans="5:40">
      <c r="E909" s="465"/>
      <c r="F909" s="465"/>
      <c r="H909" s="466"/>
      <c r="I909" s="466"/>
      <c r="R909" s="477"/>
      <c r="S909" s="477"/>
      <c r="U909" s="478"/>
      <c r="V909" s="478"/>
      <c r="AD909" s="477"/>
    </row>
    <row r="910" spans="5:40">
      <c r="E910" s="465"/>
      <c r="F910" s="465"/>
      <c r="H910" s="466"/>
      <c r="I910" s="466"/>
      <c r="R910" s="477"/>
      <c r="S910" s="477"/>
      <c r="U910" s="478"/>
      <c r="V910" s="478"/>
      <c r="AD910" s="477"/>
    </row>
    <row r="911" spans="5:40">
      <c r="E911" s="465"/>
      <c r="F911" s="465"/>
      <c r="H911" s="466"/>
      <c r="I911" s="466"/>
      <c r="R911" s="477"/>
      <c r="S911" s="477"/>
      <c r="U911" s="478"/>
      <c r="V911" s="478"/>
      <c r="AD911" s="477"/>
    </row>
    <row r="912" spans="5:40">
      <c r="E912" s="465"/>
      <c r="F912" s="465"/>
      <c r="H912" s="466"/>
      <c r="I912" s="466"/>
      <c r="R912" s="477"/>
      <c r="S912" s="477"/>
      <c r="U912" s="478"/>
      <c r="V912" s="478"/>
      <c r="AD912" s="477"/>
    </row>
    <row r="913" spans="5:30">
      <c r="E913" s="465"/>
      <c r="F913" s="465"/>
      <c r="H913" s="466"/>
      <c r="I913" s="466"/>
      <c r="R913" s="477"/>
      <c r="S913" s="477"/>
      <c r="U913" s="478"/>
      <c r="V913" s="478"/>
      <c r="AD913" s="477"/>
    </row>
    <row r="914" spans="5:30">
      <c r="E914" s="465"/>
      <c r="F914" s="465"/>
      <c r="H914" s="466"/>
      <c r="I914" s="466"/>
      <c r="R914" s="477"/>
      <c r="S914" s="477"/>
      <c r="U914" s="478"/>
      <c r="V914" s="478"/>
      <c r="AD914" s="477"/>
    </row>
    <row r="915" spans="5:30">
      <c r="E915" s="465"/>
      <c r="F915" s="465"/>
      <c r="H915" s="466"/>
      <c r="I915" s="466"/>
      <c r="R915" s="477"/>
      <c r="S915" s="477"/>
      <c r="U915" s="478"/>
      <c r="V915" s="478"/>
      <c r="AD915" s="477"/>
    </row>
    <row r="916" spans="5:30">
      <c r="E916" s="465"/>
      <c r="F916" s="465"/>
      <c r="H916" s="466"/>
      <c r="I916" s="466"/>
      <c r="R916" s="477"/>
      <c r="S916" s="477"/>
      <c r="U916" s="478"/>
      <c r="V916" s="478"/>
      <c r="AD916" s="477"/>
    </row>
    <row r="917" spans="5:30">
      <c r="E917" s="465"/>
      <c r="F917" s="465"/>
      <c r="H917" s="466"/>
      <c r="I917" s="466"/>
      <c r="R917" s="477"/>
      <c r="S917" s="477"/>
      <c r="U917" s="478"/>
      <c r="V917" s="478"/>
      <c r="AD917" s="477"/>
    </row>
    <row r="918" spans="5:30">
      <c r="E918" s="465"/>
      <c r="F918" s="465"/>
      <c r="H918" s="466"/>
      <c r="I918" s="466"/>
      <c r="R918" s="477"/>
      <c r="S918" s="477"/>
      <c r="U918" s="478"/>
      <c r="V918" s="478"/>
      <c r="AD918" s="477"/>
    </row>
    <row r="919" spans="5:30">
      <c r="E919" s="465"/>
      <c r="F919" s="465"/>
      <c r="H919" s="466"/>
      <c r="I919" s="466"/>
      <c r="R919" s="477"/>
      <c r="S919" s="477"/>
      <c r="U919" s="478"/>
      <c r="V919" s="478"/>
      <c r="AD919" s="477"/>
    </row>
    <row r="920" spans="5:30">
      <c r="E920" s="465"/>
      <c r="F920" s="465"/>
      <c r="H920" s="466"/>
      <c r="I920" s="466"/>
      <c r="R920" s="477"/>
      <c r="S920" s="477"/>
      <c r="U920" s="478"/>
      <c r="V920" s="478"/>
      <c r="AD920" s="477"/>
    </row>
    <row r="921" spans="5:30">
      <c r="E921" s="465"/>
      <c r="F921" s="465"/>
      <c r="H921" s="466"/>
      <c r="I921" s="466"/>
      <c r="R921" s="477"/>
      <c r="S921" s="477"/>
      <c r="U921" s="478"/>
      <c r="V921" s="478"/>
      <c r="AD921" s="477"/>
    </row>
    <row r="922" spans="5:30">
      <c r="E922" s="465"/>
      <c r="F922" s="465"/>
      <c r="H922" s="466"/>
      <c r="I922" s="466"/>
      <c r="R922" s="477"/>
      <c r="S922" s="477"/>
      <c r="U922" s="478"/>
      <c r="V922" s="478"/>
      <c r="AD922" s="477"/>
    </row>
    <row r="923" spans="5:30">
      <c r="E923" s="465"/>
      <c r="F923" s="465"/>
      <c r="H923" s="466"/>
      <c r="I923" s="466"/>
      <c r="R923" s="477"/>
      <c r="S923" s="477"/>
      <c r="U923" s="478"/>
      <c r="V923" s="478"/>
      <c r="AD923" s="477"/>
    </row>
    <row r="924" spans="5:30">
      <c r="E924" s="465"/>
      <c r="F924" s="465"/>
      <c r="H924" s="466"/>
      <c r="I924" s="466"/>
      <c r="R924" s="477"/>
      <c r="S924" s="477"/>
      <c r="U924" s="478"/>
      <c r="V924" s="478"/>
      <c r="AD924" s="477"/>
    </row>
    <row r="925" spans="5:30">
      <c r="E925" s="465"/>
      <c r="F925" s="465"/>
      <c r="H925" s="466"/>
      <c r="I925" s="466"/>
      <c r="R925" s="477"/>
      <c r="S925" s="477"/>
      <c r="U925" s="478"/>
      <c r="V925" s="478"/>
      <c r="AD925" s="477"/>
    </row>
    <row r="926" spans="5:30">
      <c r="E926" s="465"/>
      <c r="F926" s="465"/>
      <c r="H926" s="466"/>
      <c r="I926" s="466"/>
      <c r="R926" s="477"/>
      <c r="S926" s="477"/>
      <c r="U926" s="478"/>
      <c r="V926" s="478"/>
      <c r="AD926" s="477"/>
    </row>
    <row r="927" spans="5:30">
      <c r="E927" s="465"/>
      <c r="F927" s="465"/>
      <c r="H927" s="466"/>
      <c r="I927" s="466"/>
      <c r="R927" s="477"/>
      <c r="S927" s="477"/>
      <c r="U927" s="478"/>
      <c r="V927" s="478"/>
      <c r="AD927" s="477"/>
    </row>
    <row r="928" spans="5:30">
      <c r="E928" s="465"/>
      <c r="F928" s="465"/>
      <c r="H928" s="466"/>
      <c r="I928" s="466"/>
      <c r="R928" s="477"/>
      <c r="S928" s="477"/>
      <c r="U928" s="478"/>
      <c r="V928" s="478"/>
      <c r="AD928" s="477"/>
    </row>
    <row r="929" spans="5:30">
      <c r="E929" s="465"/>
      <c r="F929" s="465"/>
      <c r="H929" s="466"/>
      <c r="I929" s="466"/>
      <c r="R929" s="477"/>
      <c r="S929" s="477"/>
      <c r="U929" s="478"/>
      <c r="V929" s="478"/>
      <c r="AD929" s="477"/>
    </row>
    <row r="930" spans="5:30">
      <c r="E930" s="465"/>
      <c r="F930" s="465"/>
      <c r="H930" s="466"/>
      <c r="I930" s="466"/>
      <c r="R930" s="477"/>
      <c r="S930" s="477"/>
      <c r="U930" s="478"/>
      <c r="V930" s="478"/>
      <c r="AD930" s="477"/>
    </row>
    <row r="931" spans="5:30">
      <c r="E931" s="465"/>
      <c r="F931" s="465"/>
      <c r="H931" s="466"/>
      <c r="I931" s="466"/>
      <c r="R931" s="477"/>
      <c r="S931" s="477"/>
      <c r="U931" s="478"/>
      <c r="V931" s="478"/>
      <c r="AD931" s="477"/>
    </row>
    <row r="932" spans="5:30">
      <c r="E932" s="465"/>
      <c r="F932" s="465"/>
      <c r="H932" s="466"/>
      <c r="I932" s="466"/>
      <c r="R932" s="477"/>
      <c r="S932" s="477"/>
      <c r="U932" s="478"/>
      <c r="V932" s="478"/>
      <c r="AD932" s="477"/>
    </row>
    <row r="933" spans="5:30">
      <c r="E933" s="465"/>
      <c r="F933" s="465"/>
      <c r="H933" s="466"/>
      <c r="I933" s="466"/>
      <c r="R933" s="477"/>
      <c r="S933" s="477"/>
      <c r="U933" s="478"/>
      <c r="V933" s="478"/>
      <c r="AD933" s="477"/>
    </row>
    <row r="934" spans="5:30">
      <c r="E934" s="465"/>
      <c r="F934" s="465"/>
      <c r="H934" s="466"/>
      <c r="I934" s="466"/>
      <c r="R934" s="477"/>
      <c r="S934" s="477"/>
      <c r="U934" s="478"/>
      <c r="V934" s="478"/>
      <c r="AD934" s="477"/>
    </row>
    <row r="935" spans="5:30">
      <c r="E935" s="465"/>
      <c r="F935" s="465"/>
      <c r="H935" s="466"/>
      <c r="I935" s="466"/>
      <c r="R935" s="477"/>
      <c r="S935" s="477"/>
      <c r="U935" s="478"/>
      <c r="V935" s="478"/>
      <c r="AD935" s="477"/>
    </row>
    <row r="936" spans="5:30">
      <c r="E936" s="465"/>
      <c r="F936" s="465"/>
      <c r="H936" s="466"/>
      <c r="I936" s="466"/>
      <c r="R936" s="477"/>
      <c r="S936" s="477"/>
      <c r="U936" s="478"/>
      <c r="V936" s="478"/>
      <c r="AD936" s="477"/>
    </row>
    <row r="937" spans="5:30">
      <c r="E937" s="465"/>
      <c r="F937" s="465"/>
      <c r="H937" s="466"/>
      <c r="I937" s="466"/>
      <c r="R937" s="477"/>
      <c r="S937" s="477"/>
      <c r="U937" s="478"/>
      <c r="V937" s="478"/>
      <c r="AD937" s="477"/>
    </row>
    <row r="938" spans="5:30">
      <c r="E938" s="465"/>
      <c r="F938" s="465"/>
      <c r="H938" s="466"/>
      <c r="I938" s="466"/>
      <c r="R938" s="477"/>
      <c r="S938" s="477"/>
      <c r="U938" s="478"/>
      <c r="V938" s="478"/>
      <c r="AD938" s="477"/>
    </row>
    <row r="939" spans="5:30">
      <c r="E939" s="465"/>
      <c r="F939" s="465"/>
      <c r="H939" s="466"/>
      <c r="I939" s="466"/>
      <c r="R939" s="477"/>
      <c r="S939" s="477"/>
      <c r="U939" s="478"/>
      <c r="V939" s="478"/>
      <c r="AD939" s="477"/>
    </row>
    <row r="940" spans="5:30">
      <c r="E940" s="465"/>
      <c r="F940" s="465"/>
      <c r="H940" s="466"/>
      <c r="I940" s="466"/>
      <c r="R940" s="477"/>
      <c r="S940" s="477"/>
      <c r="U940" s="478"/>
      <c r="V940" s="478"/>
      <c r="AD940" s="477"/>
    </row>
    <row r="941" spans="5:30">
      <c r="E941" s="465"/>
      <c r="F941" s="465"/>
      <c r="H941" s="466"/>
      <c r="I941" s="466"/>
      <c r="R941" s="477"/>
      <c r="S941" s="477"/>
      <c r="U941" s="478"/>
      <c r="V941" s="478"/>
      <c r="AD941" s="477"/>
    </row>
    <row r="942" spans="5:30">
      <c r="E942" s="465"/>
      <c r="F942" s="465"/>
      <c r="H942" s="466"/>
      <c r="I942" s="466"/>
      <c r="R942" s="477"/>
      <c r="S942" s="477"/>
      <c r="U942" s="478"/>
      <c r="V942" s="478"/>
      <c r="AD942" s="477"/>
    </row>
    <row r="943" spans="5:30">
      <c r="E943" s="465"/>
      <c r="F943" s="465"/>
      <c r="H943" s="466"/>
      <c r="I943" s="466"/>
      <c r="R943" s="477"/>
      <c r="S943" s="477"/>
      <c r="U943" s="478"/>
      <c r="V943" s="478"/>
      <c r="AD943" s="477"/>
    </row>
    <row r="944" spans="5:30">
      <c r="E944" s="465"/>
      <c r="F944" s="465"/>
      <c r="H944" s="466"/>
      <c r="I944" s="466"/>
      <c r="R944" s="477"/>
      <c r="S944" s="477"/>
      <c r="U944" s="478"/>
      <c r="V944" s="478"/>
      <c r="AD944" s="477"/>
    </row>
    <row r="945" spans="5:40">
      <c r="E945" s="465"/>
      <c r="F945" s="465"/>
      <c r="H945" s="466"/>
      <c r="I945" s="466"/>
      <c r="R945" s="477"/>
      <c r="S945" s="477"/>
      <c r="U945" s="478"/>
      <c r="V945" s="478"/>
      <c r="AD945" s="477"/>
    </row>
    <row r="946" spans="5:40">
      <c r="E946" s="465"/>
      <c r="F946" s="465"/>
      <c r="H946" s="466"/>
      <c r="I946" s="466"/>
      <c r="R946" s="477"/>
      <c r="S946" s="477"/>
      <c r="U946" s="478"/>
      <c r="V946" s="478"/>
      <c r="AD946" s="477"/>
    </row>
    <row r="947" spans="5:40">
      <c r="E947" s="465"/>
      <c r="F947" s="465"/>
      <c r="H947" s="466"/>
      <c r="I947" s="466"/>
      <c r="R947" s="477"/>
      <c r="S947" s="477"/>
      <c r="U947" s="478"/>
      <c r="V947" s="478"/>
      <c r="AD947" s="477"/>
    </row>
    <row r="948" spans="5:40">
      <c r="E948" s="465"/>
      <c r="F948" s="465"/>
      <c r="H948" s="466"/>
      <c r="I948" s="466"/>
      <c r="R948" s="477"/>
      <c r="S948" s="477"/>
      <c r="U948" s="478"/>
      <c r="V948" s="478"/>
      <c r="AD948" s="477"/>
    </row>
    <row r="949" spans="5:40">
      <c r="E949" s="465"/>
      <c r="F949" s="465"/>
      <c r="H949" s="466"/>
      <c r="I949" s="466"/>
      <c r="R949" s="477"/>
      <c r="S949" s="477"/>
      <c r="U949" s="478"/>
      <c r="V949" s="478"/>
      <c r="AD949" s="477"/>
    </row>
    <row r="950" spans="5:40">
      <c r="E950" s="465"/>
      <c r="F950" s="465"/>
      <c r="H950" s="466"/>
      <c r="I950" s="466"/>
      <c r="R950" s="477"/>
      <c r="S950" s="477"/>
      <c r="U950" s="478"/>
      <c r="V950" s="478"/>
      <c r="AD950" s="477"/>
    </row>
    <row r="951" spans="5:40">
      <c r="E951" s="465"/>
      <c r="F951" s="465"/>
      <c r="H951" s="466"/>
      <c r="I951" s="466"/>
      <c r="R951" s="477"/>
      <c r="S951" s="477"/>
      <c r="U951" s="478"/>
      <c r="V951" s="478"/>
      <c r="AD951" s="477"/>
    </row>
    <row r="952" spans="5:40">
      <c r="E952" s="465"/>
      <c r="F952" s="465"/>
      <c r="H952" s="466"/>
      <c r="I952" s="466"/>
      <c r="R952" s="477"/>
      <c r="S952" s="477"/>
      <c r="U952" s="478"/>
      <c r="V952" s="478"/>
      <c r="AD952" s="477"/>
    </row>
    <row r="953" spans="5:40">
      <c r="E953" s="465"/>
      <c r="F953" s="465"/>
      <c r="H953" s="466"/>
      <c r="I953" s="466"/>
      <c r="R953" s="477"/>
      <c r="S953" s="477"/>
      <c r="U953" s="478"/>
      <c r="V953" s="478"/>
      <c r="AD953" s="477"/>
    </row>
    <row r="954" spans="5:40">
      <c r="E954" s="465"/>
      <c r="F954" s="465"/>
      <c r="H954" s="466"/>
      <c r="I954" s="466"/>
      <c r="R954" s="477"/>
      <c r="S954" s="477"/>
      <c r="U954" s="478"/>
      <c r="V954" s="478"/>
      <c r="AD954" s="477"/>
    </row>
    <row r="955" spans="5:40">
      <c r="E955" s="465"/>
      <c r="F955" s="465"/>
      <c r="H955" s="466"/>
      <c r="I955" s="466"/>
      <c r="R955" s="477"/>
      <c r="S955" s="477"/>
      <c r="U955" s="478"/>
      <c r="V955" s="478"/>
      <c r="AD955" s="477"/>
    </row>
    <row r="956" spans="5:40">
      <c r="E956" s="465"/>
      <c r="F956" s="465"/>
      <c r="H956" s="466"/>
      <c r="I956" s="466"/>
      <c r="R956" s="477"/>
      <c r="S956" s="477"/>
      <c r="U956" s="478"/>
      <c r="V956" s="478"/>
      <c r="AD956" s="477"/>
    </row>
    <row r="957" spans="5:40">
      <c r="E957" s="465"/>
      <c r="F957" s="465"/>
      <c r="H957" s="466"/>
      <c r="I957" s="466"/>
      <c r="R957" s="477"/>
      <c r="S957" s="477"/>
      <c r="U957" s="478"/>
      <c r="V957" s="478"/>
      <c r="AD957" s="477"/>
    </row>
    <row r="958" spans="5:40">
      <c r="E958" s="465"/>
      <c r="F958" s="465"/>
      <c r="H958" s="466"/>
      <c r="I958" s="466"/>
      <c r="R958" s="477"/>
      <c r="S958" s="477"/>
      <c r="U958" s="478"/>
      <c r="V958" s="478"/>
      <c r="AD958" s="477"/>
    </row>
    <row r="959" spans="5:40">
      <c r="E959" s="465"/>
      <c r="F959" s="465"/>
      <c r="H959" s="466"/>
      <c r="I959" s="466"/>
      <c r="R959" s="477"/>
      <c r="S959" s="477"/>
      <c r="U959" s="478"/>
      <c r="V959" s="478"/>
      <c r="AD959" s="477"/>
    </row>
    <row r="960" spans="5:40">
      <c r="G960" s="478"/>
      <c r="J960" s="478"/>
      <c r="K960" s="478"/>
      <c r="N960" s="478"/>
      <c r="O960" s="478"/>
      <c r="P960" s="478"/>
      <c r="Q960" s="478"/>
      <c r="T960" s="478"/>
      <c r="U960" s="478"/>
      <c r="V960" s="478"/>
      <c r="AE960" s="478"/>
      <c r="AF960" s="478"/>
      <c r="AG960" s="478"/>
      <c r="AH960" s="478"/>
      <c r="AJ960" s="478"/>
      <c r="AK960" s="478"/>
      <c r="AL960" s="478"/>
      <c r="AM960" s="478"/>
      <c r="AN960" s="478"/>
    </row>
    <row r="961" spans="5:40">
      <c r="E961" s="465"/>
      <c r="F961" s="465"/>
      <c r="H961" s="466"/>
      <c r="I961" s="466"/>
      <c r="R961" s="477"/>
      <c r="S961" s="477"/>
      <c r="U961" s="478"/>
      <c r="V961" s="478"/>
      <c r="AD961" s="477"/>
    </row>
    <row r="962" spans="5:40">
      <c r="E962" s="465"/>
      <c r="F962" s="465"/>
      <c r="H962" s="466"/>
      <c r="I962" s="466"/>
      <c r="R962" s="477"/>
      <c r="S962" s="477"/>
      <c r="U962" s="478"/>
      <c r="V962" s="478"/>
      <c r="AD962" s="477"/>
    </row>
    <row r="963" spans="5:40">
      <c r="E963" s="465"/>
      <c r="F963" s="465"/>
      <c r="H963" s="466"/>
      <c r="I963" s="466"/>
      <c r="R963" s="477"/>
      <c r="S963" s="477"/>
      <c r="U963" s="478"/>
      <c r="V963" s="478"/>
      <c r="AD963" s="477"/>
    </row>
    <row r="964" spans="5:40">
      <c r="E964" s="465"/>
      <c r="F964" s="465"/>
      <c r="H964" s="466"/>
      <c r="I964" s="466"/>
      <c r="R964" s="477"/>
      <c r="S964" s="477"/>
      <c r="U964" s="478"/>
      <c r="V964" s="478"/>
      <c r="AD964" s="477"/>
    </row>
    <row r="965" spans="5:40">
      <c r="E965" s="465"/>
      <c r="F965" s="465"/>
      <c r="H965" s="466"/>
      <c r="I965" s="466"/>
      <c r="R965" s="477"/>
      <c r="S965" s="477"/>
      <c r="U965" s="478"/>
      <c r="V965" s="478"/>
      <c r="AD965" s="477"/>
    </row>
    <row r="966" spans="5:40">
      <c r="E966" s="465"/>
      <c r="F966" s="465"/>
      <c r="H966" s="466"/>
      <c r="I966" s="466"/>
      <c r="R966" s="477"/>
      <c r="S966" s="477"/>
      <c r="U966" s="478"/>
      <c r="V966" s="478"/>
      <c r="AD966" s="477"/>
    </row>
    <row r="967" spans="5:40">
      <c r="E967" s="465"/>
      <c r="F967" s="465"/>
      <c r="H967" s="466"/>
      <c r="I967" s="466"/>
      <c r="R967" s="477"/>
      <c r="S967" s="477"/>
      <c r="U967" s="478"/>
      <c r="V967" s="478"/>
      <c r="AD967" s="477"/>
    </row>
    <row r="968" spans="5:40">
      <c r="E968" s="465"/>
      <c r="F968" s="465"/>
      <c r="H968" s="466"/>
      <c r="I968" s="466"/>
      <c r="R968" s="477"/>
      <c r="S968" s="477"/>
      <c r="U968" s="478"/>
      <c r="V968" s="478"/>
      <c r="AD968" s="477"/>
    </row>
    <row r="969" spans="5:40">
      <c r="E969" s="465"/>
      <c r="F969" s="465"/>
      <c r="H969" s="466"/>
      <c r="I969" s="466"/>
      <c r="R969" s="477"/>
      <c r="S969" s="477"/>
      <c r="U969" s="478"/>
      <c r="V969" s="478"/>
      <c r="AD969" s="477"/>
    </row>
    <row r="970" spans="5:40">
      <c r="E970" s="465"/>
      <c r="F970" s="465"/>
      <c r="H970" s="466"/>
      <c r="I970" s="466"/>
      <c r="R970" s="477"/>
      <c r="S970" s="477"/>
      <c r="U970" s="478"/>
      <c r="V970" s="478"/>
      <c r="AD970" s="477"/>
    </row>
    <row r="971" spans="5:40">
      <c r="E971" s="465"/>
      <c r="F971" s="465"/>
      <c r="H971" s="466"/>
      <c r="I971" s="466"/>
      <c r="R971" s="477"/>
      <c r="S971" s="477"/>
      <c r="U971" s="478"/>
      <c r="V971" s="478"/>
      <c r="AD971" s="477"/>
    </row>
    <row r="972" spans="5:40">
      <c r="E972" s="465"/>
      <c r="F972" s="465"/>
      <c r="H972" s="466"/>
      <c r="I972" s="466"/>
      <c r="R972" s="477"/>
      <c r="S972" s="477"/>
      <c r="U972" s="478"/>
      <c r="V972" s="478"/>
      <c r="AD972" s="477"/>
    </row>
    <row r="973" spans="5:40">
      <c r="E973" s="465"/>
      <c r="F973" s="465"/>
      <c r="H973" s="466"/>
      <c r="I973" s="466"/>
      <c r="R973" s="477"/>
      <c r="S973" s="477"/>
      <c r="U973" s="478"/>
      <c r="V973" s="478"/>
      <c r="AD973" s="477"/>
    </row>
    <row r="974" spans="5:40">
      <c r="E974" s="465"/>
      <c r="F974" s="465"/>
      <c r="H974" s="466"/>
      <c r="I974" s="466"/>
      <c r="R974" s="477"/>
      <c r="S974" s="477"/>
      <c r="U974" s="478"/>
      <c r="V974" s="478"/>
      <c r="AD974" s="477"/>
    </row>
    <row r="975" spans="5:40">
      <c r="E975" s="465"/>
      <c r="F975" s="465"/>
      <c r="H975" s="466"/>
      <c r="I975" s="466"/>
      <c r="R975" s="477"/>
      <c r="S975" s="477"/>
      <c r="U975" s="478"/>
      <c r="V975" s="478"/>
      <c r="AD975" s="477"/>
    </row>
    <row r="976" spans="5:40">
      <c r="E976" s="465"/>
      <c r="F976" s="465"/>
      <c r="G976" s="477"/>
      <c r="H976" s="466"/>
      <c r="I976" s="466"/>
      <c r="J976" s="477"/>
      <c r="K976" s="477"/>
      <c r="N976" s="477"/>
      <c r="O976" s="477"/>
      <c r="P976" s="477"/>
      <c r="Q976" s="477"/>
      <c r="R976" s="477"/>
      <c r="S976" s="477"/>
      <c r="T976" s="477"/>
      <c r="U976" s="477"/>
      <c r="V976" s="477"/>
      <c r="AD976" s="477"/>
      <c r="AE976" s="477"/>
      <c r="AF976" s="477"/>
      <c r="AG976" s="477"/>
      <c r="AH976" s="477"/>
      <c r="AJ976" s="477"/>
      <c r="AK976" s="477"/>
      <c r="AL976" s="477"/>
      <c r="AM976" s="477"/>
      <c r="AN976" s="477"/>
    </row>
    <row r="977" spans="5:30">
      <c r="E977" s="465"/>
      <c r="F977" s="465"/>
      <c r="H977" s="466"/>
      <c r="I977" s="466"/>
      <c r="R977" s="477"/>
      <c r="S977" s="477"/>
      <c r="U977" s="478"/>
      <c r="V977" s="478"/>
      <c r="AD977" s="477"/>
    </row>
    <row r="978" spans="5:30">
      <c r="E978" s="465"/>
      <c r="F978" s="465"/>
      <c r="H978" s="466"/>
      <c r="I978" s="466"/>
      <c r="R978" s="477"/>
      <c r="S978" s="477"/>
      <c r="U978" s="478"/>
      <c r="V978" s="478"/>
      <c r="AD978" s="477"/>
    </row>
    <row r="979" spans="5:30">
      <c r="E979" s="465"/>
      <c r="F979" s="465"/>
      <c r="H979" s="466"/>
      <c r="I979" s="466"/>
      <c r="R979" s="477"/>
      <c r="S979" s="477"/>
      <c r="U979" s="478"/>
      <c r="V979" s="478"/>
      <c r="AD979" s="477"/>
    </row>
    <row r="980" spans="5:30">
      <c r="E980" s="465"/>
      <c r="F980" s="465"/>
      <c r="H980" s="466"/>
      <c r="I980" s="466"/>
      <c r="R980" s="477"/>
      <c r="S980" s="477"/>
      <c r="U980" s="478"/>
      <c r="V980" s="478"/>
      <c r="AD980" s="477"/>
    </row>
    <row r="981" spans="5:30">
      <c r="E981" s="465"/>
      <c r="F981" s="465"/>
      <c r="H981" s="466"/>
      <c r="I981" s="466"/>
      <c r="R981" s="477"/>
      <c r="S981" s="477"/>
      <c r="U981" s="478"/>
      <c r="V981" s="478"/>
      <c r="AD981" s="477"/>
    </row>
    <row r="982" spans="5:30">
      <c r="E982" s="465"/>
      <c r="F982" s="465"/>
      <c r="H982" s="466"/>
      <c r="I982" s="466"/>
      <c r="R982" s="477"/>
      <c r="S982" s="477"/>
      <c r="U982" s="478"/>
      <c r="V982" s="478"/>
      <c r="AD982" s="477"/>
    </row>
    <row r="983" spans="5:30">
      <c r="E983" s="465"/>
      <c r="F983" s="465"/>
      <c r="H983" s="466"/>
      <c r="I983" s="466"/>
      <c r="R983" s="477"/>
      <c r="S983" s="477"/>
      <c r="U983" s="478"/>
      <c r="V983" s="478"/>
      <c r="AD983" s="477"/>
    </row>
    <row r="984" spans="5:30">
      <c r="E984" s="465"/>
      <c r="F984" s="465"/>
      <c r="H984" s="466"/>
      <c r="I984" s="466"/>
      <c r="R984" s="477"/>
      <c r="S984" s="477"/>
      <c r="U984" s="478"/>
      <c r="V984" s="478"/>
      <c r="AD984" s="477"/>
    </row>
    <row r="985" spans="5:30">
      <c r="E985" s="465"/>
      <c r="F985" s="465"/>
      <c r="H985" s="466"/>
      <c r="I985" s="466"/>
      <c r="R985" s="477"/>
      <c r="S985" s="477"/>
      <c r="U985" s="478"/>
      <c r="V985" s="478"/>
      <c r="AD985" s="477"/>
    </row>
    <row r="986" spans="5:30">
      <c r="E986" s="465"/>
      <c r="F986" s="465"/>
      <c r="H986" s="466"/>
      <c r="I986" s="466"/>
      <c r="R986" s="477"/>
      <c r="S986" s="477"/>
      <c r="U986" s="478"/>
      <c r="V986" s="478"/>
      <c r="AD986" s="477"/>
    </row>
    <row r="987" spans="5:30">
      <c r="E987" s="465"/>
      <c r="F987" s="465"/>
      <c r="H987" s="466"/>
      <c r="I987" s="466"/>
      <c r="R987" s="477"/>
      <c r="S987" s="477"/>
      <c r="U987" s="478"/>
      <c r="V987" s="478"/>
      <c r="AD987" s="477"/>
    </row>
    <row r="988" spans="5:30">
      <c r="E988" s="465"/>
      <c r="F988" s="465"/>
      <c r="H988" s="466"/>
      <c r="I988" s="466"/>
      <c r="R988" s="477"/>
      <c r="S988" s="477"/>
      <c r="U988" s="478"/>
      <c r="V988" s="478"/>
      <c r="AD988" s="477"/>
    </row>
    <row r="989" spans="5:30">
      <c r="E989" s="465"/>
      <c r="F989" s="465"/>
      <c r="H989" s="466"/>
      <c r="I989" s="466"/>
      <c r="R989" s="477"/>
      <c r="S989" s="477"/>
      <c r="U989" s="478"/>
      <c r="V989" s="478"/>
      <c r="AD989" s="477"/>
    </row>
    <row r="990" spans="5:30">
      <c r="E990" s="465"/>
      <c r="F990" s="465"/>
      <c r="H990" s="466"/>
      <c r="I990" s="466"/>
      <c r="R990" s="477"/>
      <c r="S990" s="477"/>
      <c r="U990" s="478"/>
      <c r="V990" s="478"/>
      <c r="AD990" s="477"/>
    </row>
    <row r="991" spans="5:30">
      <c r="E991" s="465"/>
      <c r="F991" s="465"/>
      <c r="H991" s="466"/>
      <c r="I991" s="466"/>
      <c r="R991" s="477"/>
      <c r="S991" s="477"/>
      <c r="U991" s="478"/>
      <c r="V991" s="478"/>
      <c r="AD991" s="477"/>
    </row>
    <row r="992" spans="5:30">
      <c r="E992" s="465"/>
      <c r="F992" s="465"/>
      <c r="H992" s="466"/>
      <c r="I992" s="466"/>
      <c r="R992" s="477"/>
      <c r="S992" s="477"/>
      <c r="U992" s="478"/>
      <c r="V992" s="478"/>
      <c r="AD992" s="477"/>
    </row>
    <row r="993" spans="5:30">
      <c r="E993" s="465"/>
      <c r="F993" s="465"/>
      <c r="H993" s="466"/>
      <c r="I993" s="466"/>
      <c r="R993" s="477"/>
      <c r="S993" s="477"/>
      <c r="U993" s="478"/>
      <c r="V993" s="478"/>
      <c r="AD993" s="477"/>
    </row>
    <row r="994" spans="5:30">
      <c r="E994" s="465"/>
      <c r="F994" s="465"/>
      <c r="H994" s="466"/>
      <c r="I994" s="466"/>
      <c r="R994" s="477"/>
      <c r="S994" s="477"/>
      <c r="U994" s="478"/>
      <c r="V994" s="478"/>
      <c r="AD994" s="477"/>
    </row>
    <row r="995" spans="5:30">
      <c r="E995" s="465"/>
      <c r="F995" s="465"/>
      <c r="H995" s="466"/>
      <c r="I995" s="466"/>
      <c r="R995" s="477"/>
      <c r="S995" s="477"/>
      <c r="U995" s="478"/>
      <c r="V995" s="478"/>
      <c r="AD995" s="477"/>
    </row>
    <row r="996" spans="5:30">
      <c r="E996" s="465"/>
      <c r="F996" s="465"/>
      <c r="H996" s="466"/>
      <c r="I996" s="466"/>
      <c r="R996" s="477"/>
      <c r="S996" s="477"/>
      <c r="U996" s="478"/>
      <c r="V996" s="478"/>
      <c r="AD996" s="477"/>
    </row>
    <row r="997" spans="5:30">
      <c r="E997" s="465"/>
      <c r="F997" s="465"/>
      <c r="H997" s="466"/>
      <c r="I997" s="466"/>
      <c r="R997" s="477"/>
      <c r="S997" s="477"/>
      <c r="U997" s="478"/>
      <c r="V997" s="478"/>
      <c r="AD997" s="477"/>
    </row>
    <row r="998" spans="5:30">
      <c r="E998" s="465"/>
      <c r="F998" s="465"/>
      <c r="H998" s="466"/>
      <c r="I998" s="466"/>
      <c r="R998" s="477"/>
      <c r="S998" s="477"/>
      <c r="U998" s="478"/>
      <c r="V998" s="478"/>
      <c r="AD998" s="477"/>
    </row>
    <row r="999" spans="5:30">
      <c r="E999" s="465"/>
      <c r="F999" s="465"/>
      <c r="H999" s="466"/>
      <c r="I999" s="466"/>
      <c r="R999" s="477"/>
      <c r="S999" s="477"/>
      <c r="U999" s="478"/>
      <c r="V999" s="478"/>
      <c r="AD999" s="477"/>
    </row>
    <row r="1000" spans="5:30">
      <c r="E1000" s="465"/>
      <c r="F1000" s="465"/>
      <c r="H1000" s="466"/>
      <c r="I1000" s="466"/>
      <c r="R1000" s="477"/>
      <c r="S1000" s="477"/>
      <c r="U1000" s="478"/>
      <c r="V1000" s="478"/>
      <c r="AD1000" s="477"/>
    </row>
    <row r="1001" spans="5:30">
      <c r="E1001" s="465"/>
      <c r="F1001" s="465"/>
      <c r="H1001" s="466"/>
      <c r="I1001" s="466"/>
      <c r="R1001" s="477"/>
      <c r="S1001" s="477"/>
      <c r="U1001" s="478"/>
      <c r="V1001" s="478"/>
      <c r="AD1001" s="477"/>
    </row>
    <row r="1002" spans="5:30">
      <c r="E1002" s="465"/>
      <c r="F1002" s="465"/>
      <c r="H1002" s="466"/>
      <c r="I1002" s="466"/>
      <c r="R1002" s="477"/>
      <c r="S1002" s="477"/>
      <c r="U1002" s="478"/>
      <c r="V1002" s="478"/>
      <c r="AD1002" s="477"/>
    </row>
    <row r="1003" spans="5:30">
      <c r="E1003" s="465"/>
      <c r="F1003" s="465"/>
      <c r="H1003" s="466"/>
      <c r="I1003" s="466"/>
      <c r="R1003" s="477"/>
      <c r="S1003" s="477"/>
      <c r="U1003" s="478"/>
      <c r="V1003" s="478"/>
      <c r="AD1003" s="477"/>
    </row>
    <row r="1004" spans="5:30">
      <c r="E1004" s="465"/>
      <c r="F1004" s="465"/>
      <c r="H1004" s="466"/>
      <c r="I1004" s="466"/>
      <c r="R1004" s="477"/>
      <c r="S1004" s="477"/>
      <c r="U1004" s="478"/>
      <c r="V1004" s="478"/>
      <c r="AD1004" s="477"/>
    </row>
    <row r="1005" spans="5:30">
      <c r="E1005" s="465"/>
      <c r="F1005" s="465"/>
      <c r="H1005" s="466"/>
      <c r="I1005" s="466"/>
      <c r="R1005" s="477"/>
      <c r="S1005" s="477"/>
      <c r="U1005" s="478"/>
      <c r="V1005" s="478"/>
      <c r="AD1005" s="477"/>
    </row>
    <row r="1006" spans="5:30">
      <c r="E1006" s="465"/>
      <c r="F1006" s="465"/>
      <c r="H1006" s="466"/>
      <c r="I1006" s="466"/>
      <c r="R1006" s="477"/>
      <c r="S1006" s="477"/>
      <c r="U1006" s="478"/>
      <c r="V1006" s="478"/>
      <c r="AD1006" s="477"/>
    </row>
    <row r="1007" spans="5:30">
      <c r="E1007" s="465"/>
      <c r="F1007" s="465"/>
      <c r="H1007" s="466"/>
      <c r="I1007" s="466"/>
      <c r="R1007" s="477"/>
      <c r="S1007" s="477"/>
      <c r="U1007" s="478"/>
      <c r="V1007" s="478"/>
      <c r="AD1007" s="477"/>
    </row>
    <row r="1008" spans="5:30">
      <c r="E1008" s="465"/>
      <c r="F1008" s="465"/>
      <c r="I1008" s="466"/>
      <c r="S1008" s="477"/>
      <c r="U1008" s="478"/>
      <c r="V1008" s="478"/>
      <c r="AD1008" s="477"/>
    </row>
    <row r="1009" spans="5:30">
      <c r="E1009" s="465"/>
      <c r="F1009" s="465"/>
      <c r="I1009" s="466"/>
      <c r="S1009" s="477"/>
      <c r="U1009" s="478"/>
      <c r="V1009" s="478"/>
      <c r="AD1009" s="477"/>
    </row>
    <row r="1010" spans="5:30">
      <c r="E1010" s="465"/>
      <c r="F1010" s="465"/>
      <c r="I1010" s="466"/>
      <c r="S1010" s="477"/>
      <c r="U1010" s="478"/>
      <c r="V1010" s="478"/>
      <c r="AD1010" s="477"/>
    </row>
    <row r="1011" spans="5:30">
      <c r="E1011" s="465"/>
      <c r="F1011" s="465"/>
      <c r="I1011" s="466"/>
      <c r="S1011" s="477"/>
      <c r="U1011" s="478"/>
      <c r="V1011" s="478"/>
      <c r="AD1011" s="477"/>
    </row>
    <row r="1012" spans="5:30">
      <c r="E1012" s="465"/>
      <c r="F1012" s="465"/>
      <c r="I1012" s="466"/>
      <c r="S1012" s="477"/>
      <c r="U1012" s="478"/>
      <c r="V1012" s="478"/>
      <c r="AD1012" s="477"/>
    </row>
    <row r="1013" spans="5:30">
      <c r="E1013" s="465"/>
      <c r="F1013" s="465"/>
      <c r="H1013" s="466"/>
      <c r="I1013" s="466"/>
      <c r="R1013" s="477"/>
      <c r="S1013" s="477"/>
      <c r="U1013" s="478"/>
      <c r="V1013" s="478"/>
      <c r="AD1013" s="477"/>
    </row>
    <row r="1014" spans="5:30">
      <c r="E1014" s="465"/>
      <c r="F1014" s="465"/>
      <c r="H1014" s="466"/>
      <c r="I1014" s="466"/>
      <c r="R1014" s="477"/>
      <c r="S1014" s="477"/>
      <c r="U1014" s="478"/>
      <c r="V1014" s="478"/>
      <c r="AD1014" s="477"/>
    </row>
    <row r="1015" spans="5:30">
      <c r="E1015" s="465"/>
      <c r="F1015" s="465"/>
      <c r="H1015" s="466"/>
      <c r="I1015" s="466"/>
      <c r="R1015" s="477"/>
      <c r="S1015" s="477"/>
      <c r="U1015" s="478"/>
      <c r="V1015" s="478"/>
      <c r="AD1015" s="477"/>
    </row>
    <row r="1016" spans="5:30">
      <c r="E1016" s="465"/>
      <c r="F1016" s="465"/>
      <c r="H1016" s="466"/>
      <c r="I1016" s="466"/>
      <c r="R1016" s="477"/>
      <c r="S1016" s="477"/>
      <c r="U1016" s="478"/>
      <c r="V1016" s="478"/>
      <c r="AD1016" s="477"/>
    </row>
    <row r="1017" spans="5:30">
      <c r="E1017" s="465"/>
      <c r="F1017" s="465"/>
      <c r="H1017" s="466"/>
      <c r="I1017" s="466"/>
      <c r="R1017" s="477"/>
      <c r="S1017" s="477"/>
      <c r="U1017" s="478"/>
      <c r="V1017" s="478"/>
      <c r="AD1017" s="477"/>
    </row>
    <row r="1018" spans="5:30">
      <c r="E1018" s="465"/>
      <c r="F1018" s="465"/>
      <c r="H1018" s="466"/>
      <c r="I1018" s="466"/>
      <c r="R1018" s="477"/>
      <c r="S1018" s="477"/>
      <c r="U1018" s="478"/>
      <c r="V1018" s="478"/>
      <c r="AD1018" s="477"/>
    </row>
    <row r="1019" spans="5:30">
      <c r="E1019" s="465"/>
      <c r="F1019" s="465"/>
      <c r="H1019" s="466"/>
      <c r="I1019" s="466"/>
      <c r="R1019" s="477"/>
      <c r="S1019" s="477"/>
      <c r="U1019" s="478"/>
      <c r="V1019" s="478"/>
      <c r="AD1019" s="477"/>
    </row>
    <row r="1020" spans="5:30">
      <c r="E1020" s="465"/>
      <c r="F1020" s="465"/>
      <c r="H1020" s="466"/>
      <c r="I1020" s="466"/>
      <c r="R1020" s="477"/>
      <c r="S1020" s="477"/>
      <c r="U1020" s="478"/>
      <c r="V1020" s="478"/>
      <c r="AD1020" s="477"/>
    </row>
    <row r="1021" spans="5:30">
      <c r="E1021" s="465"/>
      <c r="F1021" s="465"/>
      <c r="H1021" s="466"/>
      <c r="I1021" s="466"/>
      <c r="R1021" s="477"/>
      <c r="S1021" s="477"/>
      <c r="U1021" s="478"/>
      <c r="V1021" s="478"/>
      <c r="AD1021" s="477"/>
    </row>
    <row r="1022" spans="5:30">
      <c r="E1022" s="465"/>
      <c r="F1022" s="465"/>
      <c r="H1022" s="466"/>
      <c r="I1022" s="466"/>
      <c r="R1022" s="477"/>
      <c r="S1022" s="477"/>
      <c r="U1022" s="478"/>
      <c r="V1022" s="478"/>
      <c r="AD1022" s="477"/>
    </row>
    <row r="1023" spans="5:30">
      <c r="E1023" s="465"/>
      <c r="F1023" s="465"/>
      <c r="H1023" s="466"/>
      <c r="I1023" s="466"/>
      <c r="R1023" s="477"/>
      <c r="S1023" s="477"/>
      <c r="U1023" s="478"/>
      <c r="V1023" s="478"/>
      <c r="AD1023" s="477"/>
    </row>
    <row r="1024" spans="5:30">
      <c r="E1024" s="465"/>
      <c r="F1024" s="465"/>
      <c r="H1024" s="466"/>
      <c r="I1024" s="466"/>
      <c r="R1024" s="477"/>
      <c r="S1024" s="477"/>
      <c r="U1024" s="478"/>
      <c r="V1024" s="478"/>
      <c r="AD1024" s="477"/>
    </row>
    <row r="1025" spans="5:40">
      <c r="E1025" s="465"/>
      <c r="F1025" s="465"/>
      <c r="H1025" s="466"/>
      <c r="I1025" s="466"/>
      <c r="R1025" s="477"/>
      <c r="S1025" s="477"/>
      <c r="U1025" s="478"/>
      <c r="V1025" s="478"/>
      <c r="AD1025" s="477"/>
    </row>
    <row r="1026" spans="5:40">
      <c r="E1026" s="465"/>
      <c r="F1026" s="465"/>
      <c r="H1026" s="466"/>
      <c r="I1026" s="466"/>
      <c r="R1026" s="477"/>
      <c r="S1026" s="477"/>
      <c r="U1026" s="478"/>
      <c r="V1026" s="478"/>
      <c r="AD1026" s="477"/>
    </row>
    <row r="1027" spans="5:40">
      <c r="E1027" s="465"/>
      <c r="F1027" s="465"/>
      <c r="H1027" s="466"/>
      <c r="I1027" s="466"/>
      <c r="R1027" s="477"/>
      <c r="S1027" s="477"/>
      <c r="U1027" s="478"/>
      <c r="V1027" s="478"/>
      <c r="AD1027" s="477"/>
    </row>
    <row r="1028" spans="5:40">
      <c r="E1028" s="465"/>
      <c r="F1028" s="465"/>
      <c r="H1028" s="466"/>
      <c r="I1028" s="466"/>
      <c r="R1028" s="477"/>
      <c r="S1028" s="477"/>
      <c r="U1028" s="478"/>
      <c r="V1028" s="478"/>
      <c r="AD1028" s="477"/>
    </row>
    <row r="1029" spans="5:40">
      <c r="E1029" s="465"/>
      <c r="F1029" s="465"/>
      <c r="H1029" s="466"/>
      <c r="I1029" s="466"/>
      <c r="R1029" s="477"/>
      <c r="S1029" s="477"/>
      <c r="U1029" s="478"/>
      <c r="V1029" s="478"/>
      <c r="AD1029" s="477"/>
    </row>
    <row r="1030" spans="5:40">
      <c r="E1030" s="465"/>
      <c r="F1030" s="465"/>
      <c r="H1030" s="466"/>
      <c r="I1030" s="466"/>
      <c r="R1030" s="477"/>
      <c r="S1030" s="477"/>
      <c r="U1030" s="478"/>
      <c r="V1030" s="478"/>
      <c r="AD1030" s="477"/>
    </row>
    <row r="1031" spans="5:40">
      <c r="E1031" s="465"/>
      <c r="F1031" s="465"/>
      <c r="H1031" s="466"/>
      <c r="I1031" s="466"/>
      <c r="R1031" s="477"/>
      <c r="S1031" s="477"/>
      <c r="U1031" s="478"/>
      <c r="V1031" s="478"/>
      <c r="AD1031" s="477"/>
    </row>
    <row r="1032" spans="5:40">
      <c r="E1032" s="465"/>
      <c r="F1032" s="465"/>
      <c r="H1032" s="466"/>
      <c r="I1032" s="466"/>
      <c r="R1032" s="477"/>
      <c r="S1032" s="477"/>
      <c r="U1032" s="478"/>
      <c r="V1032" s="478"/>
      <c r="AD1032" s="477"/>
    </row>
    <row r="1033" spans="5:40">
      <c r="E1033" s="465"/>
      <c r="F1033" s="465"/>
      <c r="H1033" s="466"/>
      <c r="I1033" s="466"/>
      <c r="R1033" s="477"/>
      <c r="S1033" s="477"/>
      <c r="U1033" s="478"/>
      <c r="V1033" s="478"/>
      <c r="AD1033" s="477"/>
    </row>
    <row r="1034" spans="5:40">
      <c r="E1034" s="465"/>
      <c r="F1034" s="465"/>
      <c r="H1034" s="466"/>
      <c r="I1034" s="466"/>
      <c r="R1034" s="477"/>
      <c r="S1034" s="477"/>
      <c r="U1034" s="478"/>
      <c r="V1034" s="478"/>
      <c r="AD1034" s="477"/>
    </row>
    <row r="1035" spans="5:40">
      <c r="E1035" s="465"/>
      <c r="F1035" s="465"/>
      <c r="H1035" s="466"/>
      <c r="I1035" s="466"/>
      <c r="R1035" s="477"/>
      <c r="S1035" s="477"/>
      <c r="U1035" s="478"/>
      <c r="V1035" s="478"/>
      <c r="AD1035" s="477"/>
    </row>
    <row r="1036" spans="5:40">
      <c r="E1036" s="465"/>
      <c r="F1036" s="465"/>
      <c r="G1036" s="477"/>
      <c r="H1036" s="466"/>
      <c r="I1036" s="466"/>
      <c r="J1036" s="477"/>
      <c r="K1036" s="477"/>
      <c r="N1036" s="477"/>
      <c r="O1036" s="477"/>
      <c r="P1036" s="477"/>
      <c r="Q1036" s="477"/>
      <c r="R1036" s="477"/>
      <c r="S1036" s="477"/>
      <c r="T1036" s="477"/>
      <c r="U1036" s="477"/>
      <c r="V1036" s="477"/>
      <c r="AD1036" s="477"/>
      <c r="AE1036" s="477"/>
      <c r="AF1036" s="477"/>
      <c r="AG1036" s="477"/>
      <c r="AH1036" s="477"/>
      <c r="AJ1036" s="477"/>
      <c r="AK1036" s="477"/>
      <c r="AL1036" s="477"/>
      <c r="AM1036" s="477"/>
      <c r="AN1036" s="477"/>
    </row>
    <row r="1037" spans="5:40">
      <c r="R1037" s="298"/>
      <c r="S1037" s="298"/>
      <c r="AD1037" s="298"/>
    </row>
    <row r="1038" spans="5:40">
      <c r="U1038" s="478"/>
      <c r="V1038" s="478"/>
    </row>
    <row r="1039" spans="5:40">
      <c r="U1039" s="478"/>
      <c r="V1039" s="478"/>
    </row>
    <row r="1040" spans="5:40">
      <c r="U1040" s="478"/>
      <c r="V1040" s="478"/>
    </row>
    <row r="1041" spans="21:22">
      <c r="U1041" s="478"/>
      <c r="V1041" s="478"/>
    </row>
    <row r="1042" spans="21:22">
      <c r="U1042" s="478"/>
      <c r="V1042" s="478"/>
    </row>
    <row r="1043" spans="21:22">
      <c r="U1043" s="478"/>
      <c r="V1043" s="478"/>
    </row>
    <row r="1044" spans="21:22">
      <c r="U1044" s="478"/>
      <c r="V1044" s="478"/>
    </row>
    <row r="1045" spans="21:22">
      <c r="U1045" s="478"/>
      <c r="V1045" s="478"/>
    </row>
    <row r="1046" spans="21:22">
      <c r="U1046" s="478"/>
      <c r="V1046" s="478"/>
    </row>
    <row r="1047" spans="21:22">
      <c r="U1047" s="478"/>
      <c r="V1047" s="478"/>
    </row>
    <row r="1048" spans="21:22">
      <c r="U1048" s="478"/>
      <c r="V1048" s="478"/>
    </row>
    <row r="1049" spans="21:22">
      <c r="U1049" s="478"/>
      <c r="V1049" s="478"/>
    </row>
    <row r="1050" spans="21:22">
      <c r="U1050" s="478"/>
      <c r="V1050" s="478"/>
    </row>
    <row r="1051" spans="21:22">
      <c r="U1051" s="478"/>
      <c r="V1051" s="478"/>
    </row>
    <row r="1052" spans="21:22">
      <c r="U1052" s="478"/>
      <c r="V1052" s="478"/>
    </row>
    <row r="1053" spans="21:22">
      <c r="U1053" s="478"/>
      <c r="V1053" s="478"/>
    </row>
    <row r="1054" spans="21:22">
      <c r="U1054" s="478"/>
      <c r="V1054" s="478"/>
    </row>
    <row r="1055" spans="21:22">
      <c r="U1055" s="478"/>
      <c r="V1055" s="478"/>
    </row>
    <row r="1056" spans="21:22">
      <c r="U1056" s="478"/>
      <c r="V1056" s="478"/>
    </row>
    <row r="1057" spans="21:22">
      <c r="U1057" s="478"/>
      <c r="V1057" s="478"/>
    </row>
    <row r="1058" spans="21:22">
      <c r="U1058" s="478"/>
      <c r="V1058" s="478"/>
    </row>
    <row r="1059" spans="21:22">
      <c r="U1059" s="478"/>
      <c r="V1059" s="478"/>
    </row>
    <row r="1060" spans="21:22">
      <c r="U1060" s="478"/>
      <c r="V1060" s="478"/>
    </row>
    <row r="1061" spans="21:22">
      <c r="U1061" s="478"/>
      <c r="V1061" s="478"/>
    </row>
    <row r="1062" spans="21:22">
      <c r="U1062" s="478"/>
      <c r="V1062" s="478"/>
    </row>
    <row r="1063" spans="21:22">
      <c r="U1063" s="478"/>
      <c r="V1063" s="478"/>
    </row>
    <row r="1064" spans="21:22">
      <c r="U1064" s="478"/>
      <c r="V1064" s="478"/>
    </row>
    <row r="1065" spans="21:22">
      <c r="U1065" s="478"/>
      <c r="V1065" s="478"/>
    </row>
    <row r="1066" spans="21:22">
      <c r="U1066" s="478"/>
      <c r="V1066" s="478"/>
    </row>
    <row r="1067" spans="21:22">
      <c r="U1067" s="478"/>
      <c r="V1067" s="478"/>
    </row>
    <row r="1068" spans="21:22">
      <c r="U1068" s="478"/>
      <c r="V1068" s="478"/>
    </row>
    <row r="1069" spans="21:22">
      <c r="U1069" s="478"/>
      <c r="V1069" s="478"/>
    </row>
    <row r="1070" spans="21:22">
      <c r="U1070" s="478"/>
      <c r="V1070" s="478"/>
    </row>
    <row r="1071" spans="21:22">
      <c r="U1071" s="478"/>
      <c r="V1071" s="478"/>
    </row>
    <row r="1072" spans="21:22">
      <c r="U1072" s="478"/>
      <c r="V1072" s="478"/>
    </row>
    <row r="1073" spans="21:22">
      <c r="U1073" s="478"/>
      <c r="V1073" s="478"/>
    </row>
    <row r="1074" spans="21:22">
      <c r="U1074" s="478"/>
      <c r="V1074" s="478"/>
    </row>
    <row r="1075" spans="21:22">
      <c r="U1075" s="478"/>
      <c r="V1075" s="478"/>
    </row>
    <row r="1076" spans="21:22">
      <c r="U1076" s="478"/>
      <c r="V1076" s="478"/>
    </row>
    <row r="1077" spans="21:22">
      <c r="U1077" s="478"/>
      <c r="V1077" s="478"/>
    </row>
    <row r="1078" spans="21:22">
      <c r="U1078" s="478"/>
      <c r="V1078" s="478"/>
    </row>
    <row r="1079" spans="21:22">
      <c r="U1079" s="478"/>
      <c r="V1079" s="478"/>
    </row>
    <row r="1080" spans="21:22">
      <c r="U1080" s="478"/>
      <c r="V1080" s="478"/>
    </row>
    <row r="1081" spans="21:22">
      <c r="U1081" s="478"/>
      <c r="V1081" s="478"/>
    </row>
    <row r="1082" spans="21:22">
      <c r="U1082" s="478"/>
      <c r="V1082" s="478"/>
    </row>
    <row r="1083" spans="21:22">
      <c r="U1083" s="478"/>
      <c r="V1083" s="478"/>
    </row>
    <row r="1084" spans="21:22">
      <c r="U1084" s="478"/>
      <c r="V1084" s="478"/>
    </row>
    <row r="1085" spans="21:22">
      <c r="U1085" s="478"/>
      <c r="V1085" s="478"/>
    </row>
    <row r="1086" spans="21:22">
      <c r="U1086" s="478"/>
      <c r="V1086" s="478"/>
    </row>
    <row r="1087" spans="21:22">
      <c r="U1087" s="478"/>
      <c r="V1087" s="478"/>
    </row>
    <row r="1088" spans="21:22">
      <c r="U1088" s="478"/>
      <c r="V1088" s="478"/>
    </row>
    <row r="1089" spans="21:22">
      <c r="U1089" s="478"/>
      <c r="V1089" s="478"/>
    </row>
    <row r="1090" spans="21:22">
      <c r="U1090" s="478"/>
      <c r="V1090" s="478"/>
    </row>
    <row r="1091" spans="21:22">
      <c r="U1091" s="478"/>
      <c r="V1091" s="478"/>
    </row>
    <row r="1092" spans="21:22">
      <c r="U1092" s="478"/>
      <c r="V1092" s="478"/>
    </row>
    <row r="1093" spans="21:22">
      <c r="U1093" s="478"/>
      <c r="V1093" s="478"/>
    </row>
    <row r="1094" spans="21:22">
      <c r="U1094" s="478"/>
      <c r="V1094" s="478"/>
    </row>
    <row r="1095" spans="21:22">
      <c r="U1095" s="478"/>
      <c r="V1095" s="478"/>
    </row>
    <row r="1096" spans="21:22">
      <c r="U1096" s="478"/>
      <c r="V1096" s="478"/>
    </row>
    <row r="1097" spans="21:22">
      <c r="U1097" s="478"/>
      <c r="V1097" s="478"/>
    </row>
    <row r="1098" spans="21:22">
      <c r="U1098" s="478"/>
      <c r="V1098" s="478"/>
    </row>
    <row r="1099" spans="21:22">
      <c r="U1099" s="478"/>
      <c r="V1099" s="478"/>
    </row>
    <row r="1100" spans="21:22">
      <c r="U1100" s="478"/>
      <c r="V1100" s="478"/>
    </row>
    <row r="1101" spans="21:22">
      <c r="U1101" s="478"/>
      <c r="V1101" s="478"/>
    </row>
    <row r="1102" spans="21:22">
      <c r="U1102" s="478"/>
      <c r="V1102" s="478"/>
    </row>
    <row r="1103" spans="21:22">
      <c r="U1103" s="478"/>
      <c r="V1103" s="478"/>
    </row>
    <row r="1104" spans="21:22">
      <c r="U1104" s="478"/>
      <c r="V1104" s="478"/>
    </row>
    <row r="1105" spans="21:22">
      <c r="U1105" s="478"/>
      <c r="V1105" s="478"/>
    </row>
    <row r="1106" spans="21:22">
      <c r="U1106" s="478"/>
      <c r="V1106" s="478"/>
    </row>
    <row r="1107" spans="21:22">
      <c r="U1107" s="478"/>
      <c r="V1107" s="478"/>
    </row>
    <row r="1108" spans="21:22">
      <c r="U1108" s="478"/>
      <c r="V1108" s="478"/>
    </row>
    <row r="1109" spans="21:22">
      <c r="U1109" s="478"/>
      <c r="V1109" s="478"/>
    </row>
    <row r="1110" spans="21:22">
      <c r="U1110" s="478"/>
      <c r="V1110" s="478"/>
    </row>
    <row r="1111" spans="21:22">
      <c r="U1111" s="478"/>
      <c r="V1111" s="478"/>
    </row>
    <row r="1112" spans="21:22">
      <c r="U1112" s="478"/>
      <c r="V1112" s="478"/>
    </row>
    <row r="1113" spans="21:22">
      <c r="U1113" s="478"/>
      <c r="V1113" s="478"/>
    </row>
    <row r="1114" spans="21:22">
      <c r="U1114" s="478"/>
      <c r="V1114" s="478"/>
    </row>
    <row r="1115" spans="21:22">
      <c r="U1115" s="478"/>
      <c r="V1115" s="478"/>
    </row>
    <row r="1116" spans="21:22">
      <c r="U1116" s="478"/>
      <c r="V1116" s="478"/>
    </row>
    <row r="1117" spans="21:22">
      <c r="U1117" s="478"/>
      <c r="V1117" s="478"/>
    </row>
    <row r="1118" spans="21:22">
      <c r="U1118" s="478"/>
      <c r="V1118" s="478"/>
    </row>
    <row r="1119" spans="21:22">
      <c r="U1119" s="478"/>
      <c r="V1119" s="478"/>
    </row>
    <row r="1120" spans="21:22">
      <c r="U1120" s="478"/>
      <c r="V1120" s="478"/>
    </row>
    <row r="1121" spans="21:22">
      <c r="U1121" s="478"/>
      <c r="V1121" s="478"/>
    </row>
    <row r="1122" spans="21:22">
      <c r="U1122" s="478"/>
      <c r="V1122" s="478"/>
    </row>
    <row r="1123" spans="21:22">
      <c r="U1123" s="478"/>
      <c r="V1123" s="478"/>
    </row>
    <row r="1124" spans="21:22">
      <c r="U1124" s="478"/>
      <c r="V1124" s="478"/>
    </row>
    <row r="1125" spans="21:22">
      <c r="U1125" s="478"/>
      <c r="V1125" s="478"/>
    </row>
    <row r="1126" spans="21:22">
      <c r="U1126" s="478"/>
      <c r="V1126" s="478"/>
    </row>
    <row r="1127" spans="21:22">
      <c r="U1127" s="478"/>
      <c r="V1127" s="478"/>
    </row>
    <row r="1128" spans="21:22">
      <c r="U1128" s="478"/>
      <c r="V1128" s="478"/>
    </row>
    <row r="1129" spans="21:22">
      <c r="U1129" s="478"/>
      <c r="V1129" s="478"/>
    </row>
    <row r="1130" spans="21:22">
      <c r="U1130" s="478"/>
      <c r="V1130" s="478"/>
    </row>
    <row r="1131" spans="21:22">
      <c r="U1131" s="478"/>
      <c r="V1131" s="478"/>
    </row>
    <row r="1132" spans="21:22">
      <c r="U1132" s="478"/>
      <c r="V1132" s="478"/>
    </row>
    <row r="1133" spans="21:22">
      <c r="U1133" s="478"/>
      <c r="V1133" s="478"/>
    </row>
    <row r="1134" spans="21:22">
      <c r="U1134" s="478"/>
      <c r="V1134" s="478"/>
    </row>
    <row r="1135" spans="21:22">
      <c r="U1135" s="478"/>
      <c r="V1135" s="478"/>
    </row>
    <row r="1136" spans="21:22">
      <c r="U1136" s="478"/>
      <c r="V1136" s="478"/>
    </row>
    <row r="1137" spans="21:22">
      <c r="U1137" s="478"/>
      <c r="V1137" s="478"/>
    </row>
    <row r="1138" spans="21:22">
      <c r="U1138" s="478"/>
      <c r="V1138" s="478"/>
    </row>
    <row r="1139" spans="21:22">
      <c r="U1139" s="478"/>
      <c r="V1139" s="478"/>
    </row>
    <row r="1140" spans="21:22">
      <c r="U1140" s="478"/>
      <c r="V1140" s="478"/>
    </row>
    <row r="1141" spans="21:22">
      <c r="U1141" s="478"/>
      <c r="V1141" s="478"/>
    </row>
    <row r="1142" spans="21:22">
      <c r="U1142" s="478"/>
      <c r="V1142" s="478"/>
    </row>
    <row r="1143" spans="21:22">
      <c r="U1143" s="478"/>
      <c r="V1143" s="478"/>
    </row>
    <row r="1144" spans="21:22">
      <c r="U1144" s="478"/>
      <c r="V1144" s="478"/>
    </row>
    <row r="1145" spans="21:22">
      <c r="U1145" s="478"/>
      <c r="V1145" s="478"/>
    </row>
    <row r="1146" spans="21:22">
      <c r="U1146" s="478"/>
      <c r="V1146" s="478"/>
    </row>
    <row r="1147" spans="21:22">
      <c r="U1147" s="478"/>
      <c r="V1147" s="478"/>
    </row>
    <row r="1148" spans="21:22">
      <c r="U1148" s="478"/>
      <c r="V1148" s="478"/>
    </row>
    <row r="1149" spans="21:22">
      <c r="U1149" s="478"/>
      <c r="V1149" s="478"/>
    </row>
    <row r="1150" spans="21:22">
      <c r="U1150" s="478"/>
      <c r="V1150" s="478"/>
    </row>
    <row r="1151" spans="21:22">
      <c r="U1151" s="478"/>
      <c r="V1151" s="478"/>
    </row>
    <row r="1152" spans="21:22">
      <c r="U1152" s="478"/>
      <c r="V1152" s="478"/>
    </row>
    <row r="1153" spans="21:22">
      <c r="U1153" s="478"/>
      <c r="V1153" s="478"/>
    </row>
    <row r="1154" spans="21:22">
      <c r="U1154" s="478"/>
      <c r="V1154" s="478"/>
    </row>
    <row r="1155" spans="21:22">
      <c r="U1155" s="478"/>
      <c r="V1155" s="478"/>
    </row>
    <row r="1156" spans="21:22">
      <c r="U1156" s="478"/>
      <c r="V1156" s="478"/>
    </row>
    <row r="1157" spans="21:22">
      <c r="U1157" s="478"/>
      <c r="V1157" s="478"/>
    </row>
    <row r="1158" spans="21:22">
      <c r="U1158" s="478"/>
      <c r="V1158" s="478"/>
    </row>
    <row r="1159" spans="21:22">
      <c r="U1159" s="478"/>
      <c r="V1159" s="478"/>
    </row>
    <row r="1160" spans="21:22">
      <c r="U1160" s="478"/>
      <c r="V1160" s="478"/>
    </row>
    <row r="1161" spans="21:22">
      <c r="U1161" s="478"/>
      <c r="V1161" s="478"/>
    </row>
    <row r="1162" spans="21:22">
      <c r="U1162" s="478"/>
      <c r="V1162" s="478"/>
    </row>
    <row r="1163" spans="21:22">
      <c r="U1163" s="478"/>
      <c r="V1163" s="478"/>
    </row>
    <row r="1164" spans="21:22">
      <c r="U1164" s="478"/>
      <c r="V1164" s="478"/>
    </row>
    <row r="1165" spans="21:22">
      <c r="U1165" s="478"/>
      <c r="V1165" s="478"/>
    </row>
    <row r="1166" spans="21:22">
      <c r="U1166" s="478"/>
      <c r="V1166" s="478"/>
    </row>
    <row r="1167" spans="21:22">
      <c r="U1167" s="478"/>
      <c r="V1167" s="478"/>
    </row>
    <row r="1168" spans="21:22">
      <c r="U1168" s="478"/>
      <c r="V1168" s="478"/>
    </row>
    <row r="1169" spans="21:22">
      <c r="U1169" s="478"/>
      <c r="V1169" s="478"/>
    </row>
    <row r="1170" spans="21:22">
      <c r="U1170" s="478"/>
      <c r="V1170" s="478"/>
    </row>
    <row r="1171" spans="21:22">
      <c r="U1171" s="478"/>
      <c r="V1171" s="478"/>
    </row>
    <row r="1172" spans="21:22">
      <c r="U1172" s="478"/>
      <c r="V1172" s="478"/>
    </row>
    <row r="1173" spans="21:22">
      <c r="U1173" s="478"/>
      <c r="V1173" s="478"/>
    </row>
    <row r="1174" spans="21:22">
      <c r="U1174" s="478"/>
      <c r="V1174" s="478"/>
    </row>
    <row r="1175" spans="21:22">
      <c r="U1175" s="478"/>
      <c r="V1175" s="478"/>
    </row>
    <row r="1176" spans="21:22">
      <c r="U1176" s="478"/>
      <c r="V1176" s="478"/>
    </row>
    <row r="1177" spans="21:22">
      <c r="U1177" s="478"/>
      <c r="V1177" s="478"/>
    </row>
    <row r="1178" spans="21:22">
      <c r="U1178" s="478"/>
      <c r="V1178" s="478"/>
    </row>
    <row r="1179" spans="21:22">
      <c r="U1179" s="478"/>
      <c r="V1179" s="478"/>
    </row>
    <row r="1180" spans="21:22">
      <c r="U1180" s="478"/>
      <c r="V1180" s="478"/>
    </row>
    <row r="1181" spans="21:22">
      <c r="U1181" s="478"/>
      <c r="V1181" s="478"/>
    </row>
    <row r="1182" spans="21:22">
      <c r="U1182" s="478"/>
      <c r="V1182" s="478"/>
    </row>
    <row r="1183" spans="21:22">
      <c r="U1183" s="478"/>
      <c r="V1183" s="478"/>
    </row>
    <row r="1184" spans="21:22">
      <c r="U1184" s="478"/>
      <c r="V1184" s="478"/>
    </row>
    <row r="1185" spans="21:22">
      <c r="U1185" s="478"/>
      <c r="V1185" s="478"/>
    </row>
    <row r="1186" spans="21:22">
      <c r="U1186" s="478"/>
      <c r="V1186" s="478"/>
    </row>
    <row r="1187" spans="21:22">
      <c r="U1187" s="478"/>
      <c r="V1187" s="478"/>
    </row>
    <row r="1188" spans="21:22">
      <c r="U1188" s="478"/>
      <c r="V1188" s="478"/>
    </row>
    <row r="1189" spans="21:22">
      <c r="U1189" s="478"/>
      <c r="V1189" s="478"/>
    </row>
    <row r="1190" spans="21:22">
      <c r="U1190" s="478"/>
      <c r="V1190" s="478"/>
    </row>
    <row r="1191" spans="21:22">
      <c r="U1191" s="478"/>
      <c r="V1191" s="478"/>
    </row>
    <row r="1192" spans="21:22">
      <c r="U1192" s="478"/>
      <c r="V1192" s="478"/>
    </row>
    <row r="1193" spans="21:22">
      <c r="U1193" s="478"/>
      <c r="V1193" s="478"/>
    </row>
    <row r="1194" spans="21:22">
      <c r="U1194" s="478"/>
      <c r="V1194" s="478"/>
    </row>
    <row r="1195" spans="21:22">
      <c r="U1195" s="478"/>
      <c r="V1195" s="478"/>
    </row>
    <row r="1196" spans="21:22">
      <c r="U1196" s="478"/>
      <c r="V1196" s="478"/>
    </row>
  </sheetData>
  <autoFilter ref="A6:DQ54"/>
  <sortState ref="C62:CT119">
    <sortCondition ref="C62"/>
  </sortState>
  <mergeCells count="113">
    <mergeCell ref="CM3:CO4"/>
    <mergeCell ref="BX2:BX5"/>
    <mergeCell ref="CG2:CH4"/>
    <mergeCell ref="CC2:CD4"/>
    <mergeCell ref="CE2:CF4"/>
    <mergeCell ref="BP2:BR2"/>
    <mergeCell ref="BV2:BV5"/>
    <mergeCell ref="BP3:BP5"/>
    <mergeCell ref="BQ3:BQ5"/>
    <mergeCell ref="BR3:BR5"/>
    <mergeCell ref="BS2:BT3"/>
    <mergeCell ref="CA2:CA5"/>
    <mergeCell ref="CB2:CB5"/>
    <mergeCell ref="BU2:BU5"/>
    <mergeCell ref="BW2:BW5"/>
    <mergeCell ref="BY2:BZ4"/>
    <mergeCell ref="A2:A5"/>
    <mergeCell ref="AO2:AO5"/>
    <mergeCell ref="AP2:AP5"/>
    <mergeCell ref="B2:B5"/>
    <mergeCell ref="C2:C5"/>
    <mergeCell ref="D2:D5"/>
    <mergeCell ref="E2:E5"/>
    <mergeCell ref="L2:M2"/>
    <mergeCell ref="F2:F5"/>
    <mergeCell ref="G2:G5"/>
    <mergeCell ref="H2:H5"/>
    <mergeCell ref="I2:I5"/>
    <mergeCell ref="J2:J5"/>
    <mergeCell ref="K2:K5"/>
    <mergeCell ref="AN2:AN5"/>
    <mergeCell ref="AG3:AG5"/>
    <mergeCell ref="L3:L5"/>
    <mergeCell ref="AI2:AI5"/>
    <mergeCell ref="M3:M5"/>
    <mergeCell ref="R4:S4"/>
    <mergeCell ref="R3:S3"/>
    <mergeCell ref="W3:Y3"/>
    <mergeCell ref="T3:V3"/>
    <mergeCell ref="W4:W5"/>
    <mergeCell ref="AQ2:AQ5"/>
    <mergeCell ref="AJ2:AJ5"/>
    <mergeCell ref="AK2:AK5"/>
    <mergeCell ref="AL2:AL5"/>
    <mergeCell ref="N3:N5"/>
    <mergeCell ref="O3:O5"/>
    <mergeCell ref="P3:P5"/>
    <mergeCell ref="Q3:Q5"/>
    <mergeCell ref="AM2:AM5"/>
    <mergeCell ref="R2:AB2"/>
    <mergeCell ref="Z3:AB3"/>
    <mergeCell ref="Z4:Z5"/>
    <mergeCell ref="AA4:AB4"/>
    <mergeCell ref="AC2:AH2"/>
    <mergeCell ref="AH3:AH5"/>
    <mergeCell ref="AD3:AF3"/>
    <mergeCell ref="T4:T5"/>
    <mergeCell ref="N2:Q2"/>
    <mergeCell ref="U4:V4"/>
    <mergeCell ref="X4:Y4"/>
    <mergeCell ref="AC3:AC5"/>
    <mergeCell ref="AD4:AD5"/>
    <mergeCell ref="AE4:AF4"/>
    <mergeCell ref="BM3:BM5"/>
    <mergeCell ref="AW4:AW5"/>
    <mergeCell ref="BA2:BA5"/>
    <mergeCell ref="BB2:BB5"/>
    <mergeCell ref="BC2:BC5"/>
    <mergeCell ref="BM2:BO2"/>
    <mergeCell ref="BO3:BO5"/>
    <mergeCell ref="BD2:BD5"/>
    <mergeCell ref="BE2:BE5"/>
    <mergeCell ref="AX2:AX5"/>
    <mergeCell ref="AY2:AY5"/>
    <mergeCell ref="AZ2:AZ5"/>
    <mergeCell ref="BL3:BL5"/>
    <mergeCell ref="BJ2:BL2"/>
    <mergeCell ref="BF2:BF5"/>
    <mergeCell ref="BG2:BI4"/>
    <mergeCell ref="BN3:BN5"/>
    <mergeCell ref="AR2:AR5"/>
    <mergeCell ref="AS2:AS5"/>
    <mergeCell ref="AT2:AT5"/>
    <mergeCell ref="AV4:AV5"/>
    <mergeCell ref="AU2:AW2"/>
    <mergeCell ref="AU3:AU5"/>
    <mergeCell ref="AV3:AW3"/>
    <mergeCell ref="BJ3:BJ5"/>
    <mergeCell ref="BK3:BK5"/>
    <mergeCell ref="CP1:DQ1"/>
    <mergeCell ref="CI2:CI5"/>
    <mergeCell ref="CW4:CW5"/>
    <mergeCell ref="CZ4:CZ5"/>
    <mergeCell ref="DA4:DA5"/>
    <mergeCell ref="DB4:DH4"/>
    <mergeCell ref="DI4:DO4"/>
    <mergeCell ref="CP2:CS3"/>
    <mergeCell ref="CT2:CW3"/>
    <mergeCell ref="CX2:CX5"/>
    <mergeCell ref="CY2:DQ2"/>
    <mergeCell ref="CY3:CY5"/>
    <mergeCell ref="CZ3:DA3"/>
    <mergeCell ref="DB3:DO3"/>
    <mergeCell ref="DP3:DQ4"/>
    <mergeCell ref="CP4:CP5"/>
    <mergeCell ref="CQ4:CQ5"/>
    <mergeCell ref="CR4:CR5"/>
    <mergeCell ref="CS4:CS5"/>
    <mergeCell ref="CT4:CT5"/>
    <mergeCell ref="CU4:CU5"/>
    <mergeCell ref="CV4:CV5"/>
    <mergeCell ref="CJ2:CO2"/>
    <mergeCell ref="CJ3:CL4"/>
  </mergeCells>
  <phoneticPr fontId="0" type="noConversion"/>
  <pageMargins left="0.23622047244094491" right="0.23622047244094491" top="0.23622047244094491" bottom="0.47244094488188981" header="0.19685039370078741" footer="0.27559055118110237"/>
  <pageSetup paperSize="9" scale="75" orientation="landscape" horizontalDpi="300" verticalDpi="300" r:id="rId1"/>
  <headerFooter alignWithMargins="0">
    <oddFooter>Страница &amp;P из &amp;N</oddFooter>
  </headerFooter>
  <ignoredErrors>
    <ignoredError sqref="K9:M9 K10:K21 K8:M8" unlockedFormula="1"/>
    <ignoredError sqref="L10:M17 L20:M21 L18:M18 L19:M19" formula="1" unlockedFormula="1"/>
    <ignoredError sqref="L22:M41" formula="1"/>
    <ignoredError sqref="G242:U248 G53:M54 G69:U177 G240:U240 AD240:AE248 AF248:AG248 AD55:AE67 G55:U67 AD69:AE177 AD202:AE217 G216:U21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1195"/>
  <sheetViews>
    <sheetView zoomScale="90" zoomScaleNormal="90" workbookViewId="0">
      <pane xSplit="3" ySplit="6" topLeftCell="D43" activePane="bottomRight" state="frozen"/>
      <selection pane="topRight" activeCell="D1" sqref="D1"/>
      <selection pane="bottomLeft" activeCell="A7" sqref="A7"/>
      <selection pane="bottomRight" activeCell="DY54" sqref="DY54"/>
    </sheetView>
  </sheetViews>
  <sheetFormatPr defaultColWidth="9.1640625" defaultRowHeight="12.75" outlineLevelRow="1" outlineLevelCol="2"/>
  <cols>
    <col min="1" max="1" width="11.33203125" style="31" hidden="1" customWidth="1" outlineLevel="1"/>
    <col min="2" max="2" width="3.5" style="38" customWidth="1" collapsed="1"/>
    <col min="3" max="3" width="19.6640625" style="31" customWidth="1"/>
    <col min="4" max="4" width="6.5" style="31" customWidth="1"/>
    <col min="5" max="5" width="8.33203125" style="31" hidden="1" customWidth="1" outlineLevel="1"/>
    <col min="6" max="6" width="11.6640625" style="31" customWidth="1" collapsed="1"/>
    <col min="7" max="7" width="4.5" style="31" customWidth="1"/>
    <col min="8" max="8" width="5" style="38" customWidth="1"/>
    <col min="9" max="9" width="5.5" style="38" customWidth="1"/>
    <col min="10" max="10" width="11.5" style="31" hidden="1" customWidth="1" outlineLevel="1"/>
    <col min="11" max="11" width="10.1640625" style="31" hidden="1" customWidth="1" outlineLevel="1"/>
    <col min="12" max="12" width="10.33203125" style="31" hidden="1" customWidth="1" outlineLevel="1"/>
    <col min="13" max="13" width="8.83203125" style="31" hidden="1" customWidth="1" outlineLevel="1"/>
    <col min="14" max="15" width="8.33203125" style="31" hidden="1" customWidth="1" outlineLevel="1"/>
    <col min="16" max="16" width="8.83203125" style="31" hidden="1" customWidth="1" outlineLevel="1"/>
    <col min="17" max="17" width="9.1640625" style="39" hidden="1" customWidth="1" outlineLevel="1"/>
    <col min="18" max="18" width="11.6640625" style="162" customWidth="1" collapsed="1"/>
    <col min="19" max="19" width="11.6640625" style="162" customWidth="1"/>
    <col min="20" max="20" width="9" style="31" customWidth="1"/>
    <col min="21" max="21" width="10.1640625" style="31" customWidth="1"/>
    <col min="22" max="22" width="9" style="31" customWidth="1"/>
    <col min="23" max="23" width="8.83203125" style="31" customWidth="1"/>
    <col min="24" max="25" width="7.83203125" style="31" customWidth="1"/>
    <col min="26" max="26" width="10" style="31" customWidth="1"/>
    <col min="27" max="27" width="10.1640625" style="31" customWidth="1"/>
    <col min="28" max="30" width="7.83203125" style="31" hidden="1" customWidth="1" outlineLevel="1"/>
    <col min="31" max="31" width="13.33203125" style="37" hidden="1" customWidth="1" outlineLevel="1"/>
    <col min="32" max="32" width="10.1640625" style="162" hidden="1" customWidth="1" outlineLevel="1"/>
    <col min="33" max="33" width="10.33203125" style="31" hidden="1" customWidth="1" outlineLevel="1"/>
    <col min="34" max="34" width="10" style="31" hidden="1" customWidth="1" outlineLevel="1"/>
    <col min="35" max="36" width="11.83203125" style="31" hidden="1" customWidth="1" outlineLevel="1"/>
    <col min="37" max="37" width="12.83203125" style="31" hidden="1" customWidth="1" outlineLevel="1"/>
    <col min="38" max="38" width="4.1640625" style="31" hidden="1" customWidth="1" outlineLevel="2"/>
    <col min="39" max="39" width="4.83203125" style="31" hidden="1" customWidth="1" outlineLevel="2"/>
    <col min="40" max="43" width="7" style="31" hidden="1" customWidth="1" outlineLevel="2"/>
    <col min="44" max="44" width="9.5" style="31" hidden="1" customWidth="1" outlineLevel="2"/>
    <col min="45" max="46" width="8.33203125" style="31" hidden="1" customWidth="1" outlineLevel="2"/>
    <col min="47" max="47" width="8.33203125" style="38" hidden="1" customWidth="1" outlineLevel="2"/>
    <col min="48" max="48" width="10" style="31" hidden="1" customWidth="1" outlineLevel="2"/>
    <col min="49" max="51" width="11.83203125" style="31" hidden="1" customWidth="1" outlineLevel="2"/>
    <col min="52" max="52" width="10" style="31" hidden="1" customWidth="1" outlineLevel="2"/>
    <col min="53" max="53" width="8.33203125" style="31" hidden="1" customWidth="1" outlineLevel="2"/>
    <col min="54" max="54" width="10.6640625" style="31" hidden="1" customWidth="1" outlineLevel="2"/>
    <col min="55" max="55" width="8.1640625" style="31" hidden="1" customWidth="1" outlineLevel="2"/>
    <col min="56" max="56" width="7.6640625" style="31" hidden="1" customWidth="1" outlineLevel="2"/>
    <col min="57" max="57" width="7.33203125" style="31" hidden="1" customWidth="1" outlineLevel="2"/>
    <col min="58" max="58" width="8.5" style="31" hidden="1" customWidth="1" outlineLevel="2"/>
    <col min="59" max="59" width="10" style="31" hidden="1" customWidth="1" outlineLevel="2"/>
    <col min="60" max="60" width="7" style="31" hidden="1" customWidth="1" outlineLevel="2"/>
    <col min="61" max="61" width="10.1640625" style="31" hidden="1" customWidth="1" outlineLevel="2"/>
    <col min="62" max="62" width="11" style="31" hidden="1" customWidth="1" outlineLevel="2"/>
    <col min="63" max="63" width="10.6640625" style="31" hidden="1" customWidth="1" outlineLevel="2"/>
    <col min="64" max="64" width="5.1640625" style="31" hidden="1" customWidth="1" outlineLevel="1"/>
    <col min="65" max="65" width="10.5" style="31" hidden="1" customWidth="1" outlineLevel="1"/>
    <col min="66" max="66" width="9.1640625" style="31" hidden="1" customWidth="1" outlineLevel="1"/>
    <col min="67" max="67" width="4.6640625" style="31" hidden="1" customWidth="1" outlineLevel="1"/>
    <col min="68" max="68" width="11.1640625" style="31" hidden="1" customWidth="1" outlineLevel="1"/>
    <col min="69" max="69" width="9.1640625" style="31" hidden="1" customWidth="1" outlineLevel="1"/>
    <col min="70" max="70" width="5.6640625" style="31" hidden="1" customWidth="1" outlineLevel="1"/>
    <col min="71" max="72" width="9.1640625" style="31" hidden="1" customWidth="1" outlineLevel="1"/>
    <col min="73" max="74" width="9" style="31" hidden="1" customWidth="1" outlineLevel="2"/>
    <col min="75" max="75" width="10.33203125" style="31" hidden="1" customWidth="1" outlineLevel="2"/>
    <col min="76" max="76" width="11.5" style="31" hidden="1" customWidth="1" outlineLevel="2"/>
    <col min="77" max="77" width="7.6640625" style="31" hidden="1" customWidth="1" outlineLevel="2"/>
    <col min="78" max="78" width="9.83203125" style="31" hidden="1" customWidth="1" outlineLevel="2"/>
    <col min="79" max="80" width="13" style="39" hidden="1" customWidth="1" outlineLevel="2"/>
    <col min="81" max="82" width="11.1640625" style="31" hidden="1" customWidth="1" outlineLevel="1"/>
    <col min="83" max="83" width="9.1640625" style="31" hidden="1" customWidth="1" outlineLevel="1"/>
    <col min="84" max="84" width="9.83203125" style="31" hidden="1" customWidth="1" outlineLevel="1"/>
    <col min="85" max="85" width="6.83203125" style="31" hidden="1" customWidth="1" outlineLevel="1"/>
    <col min="86" max="86" width="9.83203125" style="31" hidden="1" customWidth="1" outlineLevel="1"/>
    <col min="87" max="87" width="8.33203125" style="31" hidden="1" customWidth="1" outlineLevel="1"/>
    <col min="88" max="88" width="9.83203125" style="31" hidden="1" customWidth="1" outlineLevel="1"/>
    <col min="89" max="89" width="9.1640625" style="31" hidden="1" customWidth="1" outlineLevel="1"/>
    <col min="90" max="90" width="9.1640625" style="39" hidden="1" customWidth="1" outlineLevel="1"/>
    <col min="91" max="91" width="10.33203125" style="39" hidden="1" customWidth="1" outlineLevel="1"/>
    <col min="92" max="94" width="11.5" style="25" hidden="1" customWidth="1" outlineLevel="1"/>
    <col min="95" max="95" width="13.83203125" style="25" hidden="1" customWidth="1" outlineLevel="1"/>
    <col min="96" max="123" width="6.6640625" style="31" hidden="1" customWidth="1" outlineLevel="1"/>
    <col min="124" max="124" width="4.5" style="31" customWidth="1" collapsed="1"/>
    <col min="125" max="16384" width="9.1640625" style="31"/>
  </cols>
  <sheetData>
    <row r="1" spans="1:124" ht="24" customHeight="1">
      <c r="B1" s="223" t="s">
        <v>175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3"/>
      <c r="Q1" s="34"/>
      <c r="R1" s="35"/>
      <c r="S1" s="35"/>
      <c r="T1" s="33"/>
      <c r="U1" s="33"/>
      <c r="V1" s="33"/>
      <c r="W1" s="32"/>
      <c r="X1" s="36"/>
      <c r="Y1" s="36"/>
      <c r="Z1" s="36"/>
      <c r="AA1" s="36"/>
      <c r="AB1" s="36"/>
      <c r="AC1" s="36"/>
      <c r="AD1" s="36"/>
      <c r="AF1" s="35"/>
      <c r="AG1" s="33"/>
      <c r="AH1" s="33"/>
      <c r="AI1" s="33"/>
      <c r="AJ1" s="33"/>
      <c r="AK1" s="36"/>
      <c r="AL1" s="33"/>
      <c r="AM1" s="33"/>
      <c r="AN1" s="33"/>
      <c r="AO1" s="33"/>
      <c r="AP1" s="33"/>
      <c r="CR1" s="224" t="s">
        <v>177</v>
      </c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</row>
    <row r="2" spans="1:124" ht="57.75" customHeight="1">
      <c r="A2" s="270" t="s">
        <v>66</v>
      </c>
      <c r="B2" s="273" t="s">
        <v>0</v>
      </c>
      <c r="C2" s="267" t="s">
        <v>4</v>
      </c>
      <c r="D2" s="258" t="s">
        <v>31</v>
      </c>
      <c r="E2" s="258"/>
      <c r="F2" s="258" t="s">
        <v>168</v>
      </c>
      <c r="G2" s="258" t="s">
        <v>121</v>
      </c>
      <c r="H2" s="274" t="s">
        <v>32</v>
      </c>
      <c r="I2" s="274" t="s">
        <v>33</v>
      </c>
      <c r="J2" s="258" t="s">
        <v>34</v>
      </c>
      <c r="K2" s="258" t="s">
        <v>35</v>
      </c>
      <c r="L2" s="267" t="s">
        <v>2</v>
      </c>
      <c r="M2" s="267"/>
      <c r="N2" s="267" t="s">
        <v>3</v>
      </c>
      <c r="O2" s="267"/>
      <c r="P2" s="267"/>
      <c r="Q2" s="267"/>
      <c r="R2" s="291" t="s">
        <v>103</v>
      </c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63" t="s">
        <v>104</v>
      </c>
      <c r="AF2" s="264"/>
      <c r="AG2" s="264"/>
      <c r="AH2" s="264"/>
      <c r="AI2" s="264"/>
      <c r="AJ2" s="265"/>
      <c r="AK2" s="275" t="s">
        <v>63</v>
      </c>
      <c r="AL2" s="255" t="s">
        <v>45</v>
      </c>
      <c r="AM2" s="255" t="s">
        <v>46</v>
      </c>
      <c r="AN2" s="255" t="s">
        <v>47</v>
      </c>
      <c r="AO2" s="255" t="s">
        <v>48</v>
      </c>
      <c r="AP2" s="255" t="s">
        <v>49</v>
      </c>
      <c r="AQ2" s="255" t="s">
        <v>50</v>
      </c>
      <c r="AR2" s="235" t="s">
        <v>140</v>
      </c>
      <c r="AS2" s="235" t="s">
        <v>141</v>
      </c>
      <c r="AT2" s="235" t="s">
        <v>51</v>
      </c>
      <c r="AU2" s="235" t="s">
        <v>142</v>
      </c>
      <c r="AV2" s="235" t="s">
        <v>52</v>
      </c>
      <c r="AW2" s="240" t="s">
        <v>105</v>
      </c>
      <c r="AX2" s="240"/>
      <c r="AY2" s="240"/>
      <c r="AZ2" s="235" t="s">
        <v>53</v>
      </c>
      <c r="BA2" s="235" t="s">
        <v>54</v>
      </c>
      <c r="BB2" s="235" t="s">
        <v>143</v>
      </c>
      <c r="BC2" s="235" t="s">
        <v>144</v>
      </c>
      <c r="BD2" s="235" t="s">
        <v>55</v>
      </c>
      <c r="BE2" s="235" t="s">
        <v>56</v>
      </c>
      <c r="BF2" s="235" t="s">
        <v>57</v>
      </c>
      <c r="BG2" s="235" t="s">
        <v>58</v>
      </c>
      <c r="BH2" s="235" t="s">
        <v>59</v>
      </c>
      <c r="BI2" s="246" t="s">
        <v>60</v>
      </c>
      <c r="BJ2" s="247"/>
      <c r="BK2" s="248"/>
      <c r="BL2" s="245" t="s">
        <v>19</v>
      </c>
      <c r="BM2" s="245"/>
      <c r="BN2" s="245"/>
      <c r="BO2" s="245" t="s">
        <v>21</v>
      </c>
      <c r="BP2" s="245"/>
      <c r="BQ2" s="245"/>
      <c r="BR2" s="245" t="s">
        <v>111</v>
      </c>
      <c r="BS2" s="245"/>
      <c r="BT2" s="245"/>
      <c r="BU2" s="240" t="s">
        <v>22</v>
      </c>
      <c r="BV2" s="240"/>
      <c r="BW2" s="235" t="s">
        <v>145</v>
      </c>
      <c r="BX2" s="235" t="s">
        <v>23</v>
      </c>
      <c r="BY2" s="235" t="s">
        <v>24</v>
      </c>
      <c r="BZ2" s="258" t="s">
        <v>146</v>
      </c>
      <c r="CA2" s="285" t="s">
        <v>169</v>
      </c>
      <c r="CB2" s="286"/>
      <c r="CC2" s="279" t="s">
        <v>123</v>
      </c>
      <c r="CD2" s="282" t="s">
        <v>44</v>
      </c>
      <c r="CE2" s="240" t="s">
        <v>119</v>
      </c>
      <c r="CF2" s="240"/>
      <c r="CG2" s="240" t="s">
        <v>120</v>
      </c>
      <c r="CH2" s="240"/>
      <c r="CI2" s="240" t="s">
        <v>42</v>
      </c>
      <c r="CJ2" s="278"/>
      <c r="CK2" s="225" t="s">
        <v>176</v>
      </c>
      <c r="CL2" s="231" t="s">
        <v>180</v>
      </c>
      <c r="CM2" s="232"/>
      <c r="CN2" s="232"/>
      <c r="CO2" s="232"/>
      <c r="CP2" s="232"/>
      <c r="CQ2" s="233"/>
      <c r="CR2" s="228" t="s">
        <v>148</v>
      </c>
      <c r="CS2" s="228"/>
      <c r="CT2" s="228"/>
      <c r="CU2" s="228"/>
      <c r="CV2" s="228" t="s">
        <v>149</v>
      </c>
      <c r="CW2" s="228"/>
      <c r="CX2" s="228"/>
      <c r="CY2" s="228"/>
      <c r="CZ2" s="226" t="s">
        <v>150</v>
      </c>
      <c r="DA2" s="229" t="s">
        <v>151</v>
      </c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1"/>
    </row>
    <row r="3" spans="1:124" ht="27" customHeight="1">
      <c r="A3" s="271"/>
      <c r="B3" s="273"/>
      <c r="C3" s="267"/>
      <c r="D3" s="258"/>
      <c r="E3" s="258"/>
      <c r="F3" s="258"/>
      <c r="G3" s="258"/>
      <c r="H3" s="274"/>
      <c r="I3" s="274"/>
      <c r="J3" s="258"/>
      <c r="K3" s="258"/>
      <c r="L3" s="258" t="s">
        <v>36</v>
      </c>
      <c r="M3" s="258" t="s">
        <v>37</v>
      </c>
      <c r="N3" s="258" t="s">
        <v>38</v>
      </c>
      <c r="O3" s="258" t="s">
        <v>39</v>
      </c>
      <c r="P3" s="258" t="s">
        <v>129</v>
      </c>
      <c r="Q3" s="259" t="s">
        <v>40</v>
      </c>
      <c r="R3" s="276" t="s">
        <v>42</v>
      </c>
      <c r="S3" s="277"/>
      <c r="T3" s="278" t="s">
        <v>101</v>
      </c>
      <c r="U3" s="292"/>
      <c r="V3" s="292"/>
      <c r="W3" s="293"/>
      <c r="X3" s="240" t="s">
        <v>102</v>
      </c>
      <c r="Y3" s="240"/>
      <c r="Z3" s="240"/>
      <c r="AA3" s="240"/>
      <c r="AB3" s="240" t="s">
        <v>127</v>
      </c>
      <c r="AC3" s="240"/>
      <c r="AD3" s="240"/>
      <c r="AE3" s="268" t="s">
        <v>128</v>
      </c>
      <c r="AF3" s="266" t="s">
        <v>102</v>
      </c>
      <c r="AG3" s="266"/>
      <c r="AH3" s="266"/>
      <c r="AI3" s="240" t="s">
        <v>101</v>
      </c>
      <c r="AJ3" s="240" t="s">
        <v>127</v>
      </c>
      <c r="AK3" s="275"/>
      <c r="AL3" s="256"/>
      <c r="AM3" s="256"/>
      <c r="AN3" s="256"/>
      <c r="AO3" s="256"/>
      <c r="AP3" s="256"/>
      <c r="AQ3" s="256"/>
      <c r="AR3" s="236"/>
      <c r="AS3" s="236"/>
      <c r="AT3" s="236"/>
      <c r="AU3" s="236"/>
      <c r="AV3" s="236"/>
      <c r="AW3" s="238" t="s">
        <v>1</v>
      </c>
      <c r="AX3" s="242" t="s">
        <v>61</v>
      </c>
      <c r="AY3" s="243"/>
      <c r="AZ3" s="236"/>
      <c r="BA3" s="236"/>
      <c r="BB3" s="236"/>
      <c r="BC3" s="236"/>
      <c r="BD3" s="236"/>
      <c r="BE3" s="236"/>
      <c r="BF3" s="236"/>
      <c r="BG3" s="236"/>
      <c r="BH3" s="236"/>
      <c r="BI3" s="249"/>
      <c r="BJ3" s="250"/>
      <c r="BK3" s="251"/>
      <c r="BL3" s="244" t="s">
        <v>20</v>
      </c>
      <c r="BM3" s="240" t="s">
        <v>64</v>
      </c>
      <c r="BN3" s="240" t="s">
        <v>65</v>
      </c>
      <c r="BO3" s="244" t="s">
        <v>20</v>
      </c>
      <c r="BP3" s="240" t="s">
        <v>64</v>
      </c>
      <c r="BQ3" s="240" t="s">
        <v>65</v>
      </c>
      <c r="BR3" s="244" t="s">
        <v>20</v>
      </c>
      <c r="BS3" s="240" t="s">
        <v>64</v>
      </c>
      <c r="BT3" s="240" t="s">
        <v>65</v>
      </c>
      <c r="BU3" s="240"/>
      <c r="BV3" s="240"/>
      <c r="BW3" s="236"/>
      <c r="BX3" s="236"/>
      <c r="BY3" s="236"/>
      <c r="BZ3" s="258"/>
      <c r="CA3" s="287"/>
      <c r="CB3" s="288"/>
      <c r="CC3" s="280"/>
      <c r="CD3" s="283"/>
      <c r="CE3" s="240"/>
      <c r="CF3" s="240"/>
      <c r="CG3" s="240"/>
      <c r="CH3" s="240"/>
      <c r="CI3" s="240"/>
      <c r="CJ3" s="278"/>
      <c r="CK3" s="225"/>
      <c r="CL3" s="234" t="s">
        <v>178</v>
      </c>
      <c r="CM3" s="234"/>
      <c r="CN3" s="234"/>
      <c r="CO3" s="234" t="s">
        <v>179</v>
      </c>
      <c r="CP3" s="234"/>
      <c r="CQ3" s="234"/>
      <c r="CR3" s="228"/>
      <c r="CS3" s="228"/>
      <c r="CT3" s="228"/>
      <c r="CU3" s="228"/>
      <c r="CV3" s="228"/>
      <c r="CW3" s="228"/>
      <c r="CX3" s="228"/>
      <c r="CY3" s="228"/>
      <c r="CZ3" s="226"/>
      <c r="DA3" s="230" t="s">
        <v>147</v>
      </c>
      <c r="DB3" s="228" t="s">
        <v>152</v>
      </c>
      <c r="DC3" s="228"/>
      <c r="DD3" s="227" t="s">
        <v>153</v>
      </c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8" t="s">
        <v>154</v>
      </c>
      <c r="DS3" s="228"/>
    </row>
    <row r="4" spans="1:124" ht="12.75" customHeight="1">
      <c r="A4" s="271"/>
      <c r="B4" s="273"/>
      <c r="C4" s="267"/>
      <c r="D4" s="258"/>
      <c r="E4" s="258"/>
      <c r="F4" s="258"/>
      <c r="G4" s="258"/>
      <c r="H4" s="274"/>
      <c r="I4" s="274"/>
      <c r="J4" s="258"/>
      <c r="K4" s="258"/>
      <c r="L4" s="258"/>
      <c r="M4" s="258"/>
      <c r="N4" s="258"/>
      <c r="O4" s="258"/>
      <c r="P4" s="258"/>
      <c r="Q4" s="259"/>
      <c r="R4" s="262" t="s">
        <v>43</v>
      </c>
      <c r="S4" s="262"/>
      <c r="T4" s="260" t="s">
        <v>38</v>
      </c>
      <c r="U4" s="294" t="s">
        <v>186</v>
      </c>
      <c r="V4" s="262" t="s">
        <v>43</v>
      </c>
      <c r="W4" s="262"/>
      <c r="X4" s="260" t="s">
        <v>38</v>
      </c>
      <c r="Y4" s="294" t="s">
        <v>187</v>
      </c>
      <c r="Z4" s="262" t="s">
        <v>43</v>
      </c>
      <c r="AA4" s="262"/>
      <c r="AB4" s="260" t="s">
        <v>38</v>
      </c>
      <c r="AC4" s="262" t="s">
        <v>43</v>
      </c>
      <c r="AD4" s="262"/>
      <c r="AE4" s="268"/>
      <c r="AF4" s="269" t="s">
        <v>42</v>
      </c>
      <c r="AG4" s="269" t="s">
        <v>124</v>
      </c>
      <c r="AH4" s="269"/>
      <c r="AI4" s="240"/>
      <c r="AJ4" s="240"/>
      <c r="AK4" s="275"/>
      <c r="AL4" s="256"/>
      <c r="AM4" s="256"/>
      <c r="AN4" s="256"/>
      <c r="AO4" s="256"/>
      <c r="AP4" s="256"/>
      <c r="AQ4" s="256"/>
      <c r="AR4" s="236"/>
      <c r="AS4" s="236"/>
      <c r="AT4" s="236"/>
      <c r="AU4" s="236"/>
      <c r="AV4" s="236"/>
      <c r="AW4" s="241"/>
      <c r="AX4" s="238" t="s">
        <v>8</v>
      </c>
      <c r="AY4" s="238" t="s">
        <v>9</v>
      </c>
      <c r="AZ4" s="236"/>
      <c r="BA4" s="236"/>
      <c r="BB4" s="236"/>
      <c r="BC4" s="236"/>
      <c r="BD4" s="236"/>
      <c r="BE4" s="236"/>
      <c r="BF4" s="236"/>
      <c r="BG4" s="236"/>
      <c r="BH4" s="236"/>
      <c r="BI4" s="252"/>
      <c r="BJ4" s="253"/>
      <c r="BK4" s="254"/>
      <c r="BL4" s="244"/>
      <c r="BM4" s="240"/>
      <c r="BN4" s="240"/>
      <c r="BO4" s="244"/>
      <c r="BP4" s="240"/>
      <c r="BQ4" s="240"/>
      <c r="BR4" s="244"/>
      <c r="BS4" s="240"/>
      <c r="BT4" s="240"/>
      <c r="BU4" s="206" t="s">
        <v>25</v>
      </c>
      <c r="BV4" s="206" t="s">
        <v>26</v>
      </c>
      <c r="BW4" s="236"/>
      <c r="BX4" s="236"/>
      <c r="BY4" s="236"/>
      <c r="BZ4" s="258"/>
      <c r="CA4" s="289"/>
      <c r="CB4" s="290"/>
      <c r="CC4" s="280"/>
      <c r="CD4" s="283"/>
      <c r="CE4" s="240"/>
      <c r="CF4" s="240"/>
      <c r="CG4" s="240"/>
      <c r="CH4" s="240"/>
      <c r="CI4" s="240"/>
      <c r="CJ4" s="278"/>
      <c r="CK4" s="225"/>
      <c r="CL4" s="234"/>
      <c r="CM4" s="234"/>
      <c r="CN4" s="234"/>
      <c r="CO4" s="234"/>
      <c r="CP4" s="234"/>
      <c r="CQ4" s="234"/>
      <c r="CR4" s="226" t="s">
        <v>155</v>
      </c>
      <c r="CS4" s="226" t="s">
        <v>156</v>
      </c>
      <c r="CT4" s="226" t="s">
        <v>157</v>
      </c>
      <c r="CU4" s="226" t="s">
        <v>158</v>
      </c>
      <c r="CV4" s="226" t="s">
        <v>155</v>
      </c>
      <c r="CW4" s="226" t="s">
        <v>156</v>
      </c>
      <c r="CX4" s="226" t="s">
        <v>157</v>
      </c>
      <c r="CY4" s="226" t="s">
        <v>158</v>
      </c>
      <c r="CZ4" s="226"/>
      <c r="DA4" s="230"/>
      <c r="DB4" s="226" t="s">
        <v>159</v>
      </c>
      <c r="DC4" s="226" t="s">
        <v>160</v>
      </c>
      <c r="DD4" s="227" t="s">
        <v>159</v>
      </c>
      <c r="DE4" s="227"/>
      <c r="DF4" s="227"/>
      <c r="DG4" s="227"/>
      <c r="DH4" s="227"/>
      <c r="DI4" s="227"/>
      <c r="DJ4" s="227"/>
      <c r="DK4" s="227" t="s">
        <v>160</v>
      </c>
      <c r="DL4" s="227"/>
      <c r="DM4" s="227"/>
      <c r="DN4" s="227"/>
      <c r="DO4" s="227"/>
      <c r="DP4" s="227"/>
      <c r="DQ4" s="227"/>
      <c r="DR4" s="228"/>
      <c r="DS4" s="228"/>
    </row>
    <row r="5" spans="1:124" ht="63.75" customHeight="1">
      <c r="A5" s="272"/>
      <c r="B5" s="273"/>
      <c r="C5" s="267"/>
      <c r="D5" s="258"/>
      <c r="E5" s="258"/>
      <c r="F5" s="258"/>
      <c r="G5" s="258"/>
      <c r="H5" s="274"/>
      <c r="I5" s="274"/>
      <c r="J5" s="258"/>
      <c r="K5" s="258"/>
      <c r="L5" s="258"/>
      <c r="M5" s="258"/>
      <c r="N5" s="258"/>
      <c r="O5" s="258"/>
      <c r="P5" s="258"/>
      <c r="Q5" s="259"/>
      <c r="R5" s="40" t="s">
        <v>41</v>
      </c>
      <c r="S5" s="40" t="s">
        <v>5</v>
      </c>
      <c r="T5" s="261"/>
      <c r="U5" s="295"/>
      <c r="V5" s="209" t="s">
        <v>41</v>
      </c>
      <c r="W5" s="209" t="s">
        <v>5</v>
      </c>
      <c r="X5" s="261"/>
      <c r="Y5" s="295"/>
      <c r="Z5" s="209" t="s">
        <v>41</v>
      </c>
      <c r="AA5" s="209" t="s">
        <v>5</v>
      </c>
      <c r="AB5" s="261"/>
      <c r="AC5" s="209" t="s">
        <v>41</v>
      </c>
      <c r="AD5" s="209" t="s">
        <v>5</v>
      </c>
      <c r="AE5" s="268"/>
      <c r="AF5" s="269"/>
      <c r="AG5" s="210" t="s">
        <v>125</v>
      </c>
      <c r="AH5" s="208" t="s">
        <v>126</v>
      </c>
      <c r="AI5" s="240"/>
      <c r="AJ5" s="240"/>
      <c r="AK5" s="275"/>
      <c r="AL5" s="257"/>
      <c r="AM5" s="257"/>
      <c r="AN5" s="257"/>
      <c r="AO5" s="257"/>
      <c r="AP5" s="257"/>
      <c r="AQ5" s="257"/>
      <c r="AR5" s="237"/>
      <c r="AS5" s="237"/>
      <c r="AT5" s="237"/>
      <c r="AU5" s="237"/>
      <c r="AV5" s="237"/>
      <c r="AW5" s="239"/>
      <c r="AX5" s="239"/>
      <c r="AY5" s="239"/>
      <c r="AZ5" s="237"/>
      <c r="BA5" s="237"/>
      <c r="BB5" s="237"/>
      <c r="BC5" s="237"/>
      <c r="BD5" s="237"/>
      <c r="BE5" s="237"/>
      <c r="BF5" s="237"/>
      <c r="BG5" s="237"/>
      <c r="BH5" s="237"/>
      <c r="BI5" s="9" t="s">
        <v>62</v>
      </c>
      <c r="BJ5" s="9" t="s">
        <v>6</v>
      </c>
      <c r="BK5" s="10" t="s">
        <v>7</v>
      </c>
      <c r="BL5" s="244"/>
      <c r="BM5" s="240"/>
      <c r="BN5" s="240"/>
      <c r="BO5" s="244"/>
      <c r="BP5" s="240"/>
      <c r="BQ5" s="240"/>
      <c r="BR5" s="244"/>
      <c r="BS5" s="240"/>
      <c r="BT5" s="240"/>
      <c r="BU5" s="41"/>
      <c r="BV5" s="41"/>
      <c r="BW5" s="237"/>
      <c r="BX5" s="237"/>
      <c r="BY5" s="237"/>
      <c r="BZ5" s="258"/>
      <c r="CA5" s="171" t="s">
        <v>170</v>
      </c>
      <c r="CB5" s="171" t="s">
        <v>171</v>
      </c>
      <c r="CC5" s="281"/>
      <c r="CD5" s="284"/>
      <c r="CE5" s="206" t="s">
        <v>121</v>
      </c>
      <c r="CF5" s="206" t="s">
        <v>122</v>
      </c>
      <c r="CG5" s="206" t="s">
        <v>121</v>
      </c>
      <c r="CH5" s="206" t="s">
        <v>122</v>
      </c>
      <c r="CI5" s="206" t="s">
        <v>121</v>
      </c>
      <c r="CJ5" s="207" t="s">
        <v>122</v>
      </c>
      <c r="CK5" s="225"/>
      <c r="CL5" s="204" t="s">
        <v>121</v>
      </c>
      <c r="CM5" s="204" t="s">
        <v>181</v>
      </c>
      <c r="CN5" s="168" t="s">
        <v>182</v>
      </c>
      <c r="CO5" s="205" t="s">
        <v>121</v>
      </c>
      <c r="CP5" s="205" t="s">
        <v>183</v>
      </c>
      <c r="CQ5" s="168" t="s">
        <v>184</v>
      </c>
      <c r="CR5" s="226"/>
      <c r="CS5" s="226"/>
      <c r="CT5" s="226"/>
      <c r="CU5" s="226"/>
      <c r="CV5" s="226"/>
      <c r="CW5" s="226"/>
      <c r="CX5" s="226"/>
      <c r="CY5" s="226"/>
      <c r="CZ5" s="226"/>
      <c r="DA5" s="230"/>
      <c r="DB5" s="226"/>
      <c r="DC5" s="226"/>
      <c r="DD5" s="212" t="s">
        <v>161</v>
      </c>
      <c r="DE5" s="212" t="s">
        <v>162</v>
      </c>
      <c r="DF5" s="211" t="s">
        <v>163</v>
      </c>
      <c r="DG5" s="211" t="s">
        <v>164</v>
      </c>
      <c r="DH5" s="212" t="s">
        <v>165</v>
      </c>
      <c r="DI5" s="211" t="s">
        <v>163</v>
      </c>
      <c r="DJ5" s="211" t="s">
        <v>164</v>
      </c>
      <c r="DK5" s="212" t="s">
        <v>161</v>
      </c>
      <c r="DL5" s="212" t="s">
        <v>162</v>
      </c>
      <c r="DM5" s="211" t="s">
        <v>163</v>
      </c>
      <c r="DN5" s="211" t="s">
        <v>164</v>
      </c>
      <c r="DO5" s="212" t="s">
        <v>165</v>
      </c>
      <c r="DP5" s="211" t="s">
        <v>163</v>
      </c>
      <c r="DQ5" s="211" t="s">
        <v>164</v>
      </c>
      <c r="DR5" s="211" t="s">
        <v>155</v>
      </c>
      <c r="DS5" s="211" t="s">
        <v>166</v>
      </c>
    </row>
    <row r="6" spans="1:124">
      <c r="A6" s="12"/>
      <c r="B6" s="12"/>
      <c r="C6" s="12">
        <v>1</v>
      </c>
      <c r="D6" s="12">
        <v>2</v>
      </c>
      <c r="E6" s="12"/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214" t="s">
        <v>185</v>
      </c>
      <c r="V6" s="12">
        <v>19</v>
      </c>
      <c r="W6" s="12">
        <v>20</v>
      </c>
      <c r="X6" s="12">
        <v>21</v>
      </c>
      <c r="Y6" s="12" t="s">
        <v>188</v>
      </c>
      <c r="Z6" s="12">
        <v>22</v>
      </c>
      <c r="AA6" s="12">
        <v>23</v>
      </c>
      <c r="AB6" s="12">
        <v>24</v>
      </c>
      <c r="AC6" s="12">
        <v>25</v>
      </c>
      <c r="AD6" s="12">
        <v>26</v>
      </c>
      <c r="AE6" s="12">
        <v>27</v>
      </c>
      <c r="AF6" s="12">
        <v>28</v>
      </c>
      <c r="AG6" s="12">
        <v>29</v>
      </c>
      <c r="AH6" s="12">
        <v>30</v>
      </c>
      <c r="AI6" s="12">
        <v>31</v>
      </c>
      <c r="AJ6" s="12">
        <v>32</v>
      </c>
      <c r="AK6" s="12">
        <v>33</v>
      </c>
      <c r="AL6" s="12">
        <v>34</v>
      </c>
      <c r="AM6" s="12">
        <v>35</v>
      </c>
      <c r="AN6" s="12">
        <v>36</v>
      </c>
      <c r="AO6" s="12">
        <v>37</v>
      </c>
      <c r="AP6" s="12">
        <v>38</v>
      </c>
      <c r="AQ6" s="12">
        <v>39</v>
      </c>
      <c r="AR6" s="12">
        <v>40</v>
      </c>
      <c r="AS6" s="12">
        <v>41</v>
      </c>
      <c r="AT6" s="12">
        <v>42</v>
      </c>
      <c r="AU6" s="12">
        <v>43</v>
      </c>
      <c r="AV6" s="12">
        <v>44</v>
      </c>
      <c r="AW6" s="12">
        <v>45</v>
      </c>
      <c r="AX6" s="12">
        <v>46</v>
      </c>
      <c r="AY6" s="12">
        <v>47</v>
      </c>
      <c r="AZ6" s="12">
        <v>48</v>
      </c>
      <c r="BA6" s="12">
        <v>49</v>
      </c>
      <c r="BB6" s="12">
        <v>50</v>
      </c>
      <c r="BC6" s="12">
        <v>51</v>
      </c>
      <c r="BD6" s="12">
        <v>52</v>
      </c>
      <c r="BE6" s="12">
        <v>53</v>
      </c>
      <c r="BF6" s="12">
        <v>54</v>
      </c>
      <c r="BG6" s="12">
        <v>55</v>
      </c>
      <c r="BH6" s="12">
        <v>56</v>
      </c>
      <c r="BI6" s="12">
        <v>57</v>
      </c>
      <c r="BJ6" s="12">
        <v>58</v>
      </c>
      <c r="BK6" s="12">
        <v>59</v>
      </c>
      <c r="BL6" s="12">
        <v>60</v>
      </c>
      <c r="BM6" s="12">
        <v>61</v>
      </c>
      <c r="BN6" s="12">
        <v>62</v>
      </c>
      <c r="BO6" s="12">
        <v>63</v>
      </c>
      <c r="BP6" s="12">
        <v>64</v>
      </c>
      <c r="BQ6" s="12">
        <v>65</v>
      </c>
      <c r="BR6" s="12">
        <v>66</v>
      </c>
      <c r="BS6" s="12">
        <v>67</v>
      </c>
      <c r="BT6" s="12">
        <v>68</v>
      </c>
      <c r="BU6" s="12">
        <v>69</v>
      </c>
      <c r="BV6" s="12">
        <v>70</v>
      </c>
      <c r="BW6" s="12">
        <v>71</v>
      </c>
      <c r="BX6" s="12">
        <v>72</v>
      </c>
      <c r="BY6" s="12">
        <v>73</v>
      </c>
      <c r="BZ6" s="12">
        <v>74</v>
      </c>
      <c r="CA6" s="12">
        <v>75</v>
      </c>
      <c r="CB6" s="12">
        <v>76</v>
      </c>
      <c r="CC6" s="12">
        <v>77</v>
      </c>
      <c r="CD6" s="12">
        <v>78</v>
      </c>
      <c r="CE6" s="12">
        <v>79</v>
      </c>
      <c r="CF6" s="12">
        <v>80</v>
      </c>
      <c r="CG6" s="12">
        <v>81</v>
      </c>
      <c r="CH6" s="12">
        <v>82</v>
      </c>
      <c r="CI6" s="12">
        <v>83</v>
      </c>
      <c r="CJ6" s="12">
        <v>84</v>
      </c>
      <c r="CK6" s="12">
        <v>85</v>
      </c>
      <c r="CL6" s="12">
        <v>86</v>
      </c>
      <c r="CM6" s="12">
        <v>87</v>
      </c>
      <c r="CN6" s="12">
        <v>88</v>
      </c>
      <c r="CO6" s="12">
        <v>89</v>
      </c>
      <c r="CP6" s="12">
        <v>90</v>
      </c>
      <c r="CQ6" s="12">
        <v>91</v>
      </c>
      <c r="CR6" s="12">
        <v>92</v>
      </c>
      <c r="CS6" s="12">
        <v>93</v>
      </c>
      <c r="CT6" s="12">
        <v>94</v>
      </c>
      <c r="CU6" s="12">
        <v>95</v>
      </c>
      <c r="CV6" s="12">
        <v>96</v>
      </c>
      <c r="CW6" s="12">
        <v>97</v>
      </c>
      <c r="CX6" s="12">
        <v>98</v>
      </c>
      <c r="CY6" s="12">
        <v>99</v>
      </c>
      <c r="CZ6" s="12">
        <v>100</v>
      </c>
      <c r="DA6" s="12">
        <v>101</v>
      </c>
      <c r="DB6" s="12">
        <v>102</v>
      </c>
      <c r="DC6" s="12">
        <v>103</v>
      </c>
      <c r="DD6" s="12">
        <v>104</v>
      </c>
      <c r="DE6" s="12">
        <v>105</v>
      </c>
      <c r="DF6" s="12">
        <v>106</v>
      </c>
      <c r="DG6" s="12">
        <v>107</v>
      </c>
      <c r="DH6" s="12">
        <v>108</v>
      </c>
      <c r="DI6" s="12">
        <v>109</v>
      </c>
      <c r="DJ6" s="12">
        <v>110</v>
      </c>
      <c r="DK6" s="12">
        <v>111</v>
      </c>
      <c r="DL6" s="12">
        <v>112</v>
      </c>
      <c r="DM6" s="12">
        <v>113</v>
      </c>
      <c r="DN6" s="12">
        <v>114</v>
      </c>
      <c r="DO6" s="12">
        <v>115</v>
      </c>
      <c r="DP6" s="12">
        <v>116</v>
      </c>
      <c r="DQ6" s="12">
        <v>117</v>
      </c>
      <c r="DR6" s="12">
        <v>118</v>
      </c>
      <c r="DS6" s="12">
        <v>119</v>
      </c>
    </row>
    <row r="7" spans="1:124" s="58" customFormat="1" ht="27.75" customHeight="1">
      <c r="A7" s="43" t="s">
        <v>95</v>
      </c>
      <c r="B7" s="44">
        <v>1</v>
      </c>
      <c r="C7" s="222" t="s">
        <v>110</v>
      </c>
      <c r="D7" s="45">
        <v>1951</v>
      </c>
      <c r="E7" s="46"/>
      <c r="F7" s="46" t="s">
        <v>29</v>
      </c>
      <c r="G7" s="47">
        <v>1</v>
      </c>
      <c r="H7" s="46">
        <v>7</v>
      </c>
      <c r="I7" s="46" t="s">
        <v>100</v>
      </c>
      <c r="J7" s="48">
        <v>73573</v>
      </c>
      <c r="K7" s="48">
        <v>3735</v>
      </c>
      <c r="L7" s="48">
        <v>4498</v>
      </c>
      <c r="M7" s="48">
        <v>0</v>
      </c>
      <c r="N7" s="48">
        <v>86</v>
      </c>
      <c r="O7" s="48">
        <v>256</v>
      </c>
      <c r="P7" s="48">
        <v>102</v>
      </c>
      <c r="Q7" s="49">
        <v>154</v>
      </c>
      <c r="R7" s="61">
        <v>7626.33</v>
      </c>
      <c r="S7" s="52">
        <v>4813.1000000000004</v>
      </c>
      <c r="T7" s="30">
        <f t="shared" ref="T7:T54" si="0">N7-X7-AB7</f>
        <v>73</v>
      </c>
      <c r="U7" s="215">
        <f>V7/R7</f>
        <v>0.85496824816130434</v>
      </c>
      <c r="V7" s="50">
        <f t="shared" ref="V7:V54" si="1">R7-Z7-AC7</f>
        <v>6520.27</v>
      </c>
      <c r="W7" s="50">
        <f t="shared" ref="W7:W54" si="2">S7-AA7-AD7</f>
        <v>4105.9900000000007</v>
      </c>
      <c r="X7" s="22">
        <v>13</v>
      </c>
      <c r="Y7" s="215">
        <f>Z7/R7</f>
        <v>0.14503175183869568</v>
      </c>
      <c r="Z7" s="170">
        <v>1106.06</v>
      </c>
      <c r="AA7" s="170">
        <v>707.11</v>
      </c>
      <c r="AB7" s="51"/>
      <c r="AC7" s="51"/>
      <c r="AD7" s="51"/>
      <c r="AE7" s="170">
        <f>AF7+AI7+AJ7</f>
        <v>5049.5</v>
      </c>
      <c r="AF7" s="61">
        <f>AG7+AH7</f>
        <v>4282.5</v>
      </c>
      <c r="AG7" s="174"/>
      <c r="AH7" s="61">
        <f>4654.9-372.4</f>
        <v>4282.5</v>
      </c>
      <c r="AI7" s="174">
        <f>394.6+372.4</f>
        <v>767</v>
      </c>
      <c r="AJ7" s="53"/>
      <c r="AK7" s="174">
        <f t="shared" ref="AK7:AK54" si="3">R7+AE7</f>
        <v>12675.83</v>
      </c>
      <c r="AL7" s="48"/>
      <c r="AM7" s="48"/>
      <c r="AN7" s="48">
        <v>5</v>
      </c>
      <c r="AO7" s="48"/>
      <c r="AP7" s="48"/>
      <c r="AQ7" s="48">
        <v>2</v>
      </c>
      <c r="AR7" s="48">
        <v>9516</v>
      </c>
      <c r="AS7" s="48">
        <v>2752</v>
      </c>
      <c r="AT7" s="48">
        <v>735</v>
      </c>
      <c r="AU7" s="48">
        <v>540</v>
      </c>
      <c r="AV7" s="48">
        <v>210</v>
      </c>
      <c r="AW7" s="48">
        <f t="shared" ref="AW7:AW9" si="4">SUM(AX7+AY7)</f>
        <v>4225</v>
      </c>
      <c r="AX7" s="48"/>
      <c r="AY7" s="48">
        <v>4225</v>
      </c>
      <c r="AZ7" s="48"/>
      <c r="BA7" s="48">
        <v>247</v>
      </c>
      <c r="BB7" s="48">
        <v>3724</v>
      </c>
      <c r="BC7" s="48">
        <v>3724</v>
      </c>
      <c r="BD7" s="48">
        <v>25</v>
      </c>
      <c r="BE7" s="48">
        <v>10</v>
      </c>
      <c r="BF7" s="48">
        <v>346</v>
      </c>
      <c r="BG7" s="48">
        <v>863</v>
      </c>
      <c r="BH7" s="48"/>
      <c r="BI7" s="48">
        <v>7238</v>
      </c>
      <c r="BJ7" s="48">
        <v>190</v>
      </c>
      <c r="BK7" s="48"/>
      <c r="BL7" s="48">
        <f>G7</f>
        <v>1</v>
      </c>
      <c r="BM7" s="48">
        <f>R7</f>
        <v>7626.33</v>
      </c>
      <c r="BN7" s="48">
        <f>S7</f>
        <v>4813.1000000000004</v>
      </c>
      <c r="BO7" s="48"/>
      <c r="BP7" s="48"/>
      <c r="BQ7" s="48"/>
      <c r="BR7" s="48"/>
      <c r="BS7" s="48"/>
      <c r="BT7" s="48"/>
      <c r="BU7" s="48"/>
      <c r="BV7" s="48">
        <v>4</v>
      </c>
      <c r="BW7" s="48">
        <f>BC7</f>
        <v>3724</v>
      </c>
      <c r="BX7" s="48">
        <v>5820</v>
      </c>
      <c r="BY7" s="48"/>
      <c r="BZ7" s="48">
        <f>AR7</f>
        <v>9516</v>
      </c>
      <c r="CA7" s="172">
        <v>803.19999999999993</v>
      </c>
      <c r="CB7" s="172">
        <v>803.2</v>
      </c>
      <c r="CC7" s="14">
        <v>6860</v>
      </c>
      <c r="CD7" s="14">
        <f t="shared" ref="CD7:CD54" si="5">CC7-K7</f>
        <v>3125</v>
      </c>
      <c r="CE7" s="54" t="str">
        <f t="shared" ref="CE7:CE22" si="6">IF(CF7&gt;0,G7,"0")</f>
        <v>0</v>
      </c>
      <c r="CF7" s="55">
        <f t="shared" ref="CF7:CF54" si="7">AX7</f>
        <v>0</v>
      </c>
      <c r="CG7" s="54">
        <f t="shared" ref="CG7:CG54" si="8">IF(CH7&gt;0,G7,"0")</f>
        <v>1</v>
      </c>
      <c r="CH7" s="55">
        <f t="shared" ref="CH7:CH54" si="9">AY7</f>
        <v>4225</v>
      </c>
      <c r="CI7" s="55">
        <f>CE7+CG7</f>
        <v>1</v>
      </c>
      <c r="CJ7" s="55">
        <f>CF7+CH7</f>
        <v>4225</v>
      </c>
      <c r="CK7" s="56">
        <v>50</v>
      </c>
      <c r="CL7" s="57" t="str">
        <f t="shared" ref="CL7:CL54" si="10">IF((Z7/R7*100&gt;=50), G7, "0")</f>
        <v>0</v>
      </c>
      <c r="CM7" s="57" t="str">
        <f t="shared" ref="CM7:CM54" si="11">IF((Z7/R7*100&gt;=50), R7, "0")</f>
        <v>0</v>
      </c>
      <c r="CN7" s="167">
        <f t="shared" ref="CN7:CN54" si="12">Z7/R7*100</f>
        <v>14.503175183869569</v>
      </c>
      <c r="CO7" s="178" t="str">
        <f t="shared" ref="CO7:CO54" si="13">IF(((Z7+AF7)/AK7*100&gt;=50), G7, "0")</f>
        <v>0</v>
      </c>
      <c r="CP7" s="178" t="str">
        <f>IF(((Z7+AF7)/AK7*100&gt;=50), AK7, "0")</f>
        <v>0</v>
      </c>
      <c r="CQ7" s="167">
        <f>(Z7+AF7)/AK7*100</f>
        <v>42.510510159886962</v>
      </c>
      <c r="CR7" s="181">
        <v>1</v>
      </c>
      <c r="CS7" s="181">
        <v>0</v>
      </c>
      <c r="CT7" s="181">
        <v>0</v>
      </c>
      <c r="CU7" s="181">
        <v>0</v>
      </c>
      <c r="CV7" s="181">
        <v>3</v>
      </c>
      <c r="CW7" s="181">
        <v>0</v>
      </c>
      <c r="CX7" s="181">
        <v>0</v>
      </c>
      <c r="CY7" s="181">
        <v>0</v>
      </c>
      <c r="CZ7" s="181">
        <v>0</v>
      </c>
      <c r="DA7" s="182">
        <v>86</v>
      </c>
      <c r="DB7" s="183">
        <v>78</v>
      </c>
      <c r="DC7" s="184">
        <v>8</v>
      </c>
      <c r="DD7" s="181">
        <v>69</v>
      </c>
      <c r="DE7" s="181">
        <v>22</v>
      </c>
      <c r="DF7" s="181">
        <v>112</v>
      </c>
      <c r="DG7" s="181">
        <v>30</v>
      </c>
      <c r="DH7" s="181">
        <v>22</v>
      </c>
      <c r="DI7" s="181">
        <v>112</v>
      </c>
      <c r="DJ7" s="181">
        <v>41</v>
      </c>
      <c r="DK7" s="181">
        <v>4</v>
      </c>
      <c r="DL7" s="181">
        <v>1</v>
      </c>
      <c r="DM7" s="184">
        <v>8</v>
      </c>
      <c r="DN7" s="181">
        <v>1</v>
      </c>
      <c r="DO7" s="181">
        <v>1</v>
      </c>
      <c r="DP7" s="184">
        <v>9</v>
      </c>
      <c r="DQ7" s="181">
        <v>2</v>
      </c>
      <c r="DR7" s="184">
        <f t="shared" ref="DR7:DR54" si="14">DA7</f>
        <v>86</v>
      </c>
      <c r="DS7" s="181">
        <v>24</v>
      </c>
    </row>
    <row r="8" spans="1:124" s="58" customFormat="1" ht="13.9" customHeight="1">
      <c r="A8" s="43" t="s">
        <v>95</v>
      </c>
      <c r="B8" s="44">
        <v>2</v>
      </c>
      <c r="C8" s="13" t="s">
        <v>30</v>
      </c>
      <c r="D8" s="45">
        <v>1993</v>
      </c>
      <c r="E8" s="46"/>
      <c r="F8" s="46" t="s">
        <v>28</v>
      </c>
      <c r="G8" s="47">
        <v>1</v>
      </c>
      <c r="H8" s="46">
        <v>9</v>
      </c>
      <c r="I8" s="46" t="s">
        <v>99</v>
      </c>
      <c r="J8" s="48">
        <v>29497</v>
      </c>
      <c r="K8" s="48">
        <v>1170</v>
      </c>
      <c r="L8" s="48"/>
      <c r="M8" s="48">
        <v>1181</v>
      </c>
      <c r="N8" s="48">
        <v>101</v>
      </c>
      <c r="O8" s="48">
        <v>277</v>
      </c>
      <c r="P8" s="48">
        <v>102</v>
      </c>
      <c r="Q8" s="59">
        <v>283</v>
      </c>
      <c r="R8" s="61">
        <v>6588.2</v>
      </c>
      <c r="S8" s="52">
        <v>4098.7</v>
      </c>
      <c r="T8" s="19">
        <f t="shared" si="0"/>
        <v>98</v>
      </c>
      <c r="U8" s="215">
        <f t="shared" ref="U8:U71" si="15">V8/R8</f>
        <v>0.96891411918278125</v>
      </c>
      <c r="V8" s="48">
        <f t="shared" si="1"/>
        <v>6383.4</v>
      </c>
      <c r="W8" s="48">
        <f t="shared" si="2"/>
        <v>3969.2</v>
      </c>
      <c r="X8" s="22">
        <v>3</v>
      </c>
      <c r="Y8" s="215">
        <f t="shared" ref="Y8:Y71" si="16">Z8/R8</f>
        <v>3.1085880817218667E-2</v>
      </c>
      <c r="Z8" s="170">
        <v>204.8</v>
      </c>
      <c r="AA8" s="170">
        <v>129.5</v>
      </c>
      <c r="AB8" s="51"/>
      <c r="AC8" s="51"/>
      <c r="AD8" s="51"/>
      <c r="AE8" s="170">
        <f t="shared" ref="AE8:AE54" si="17">AF8+AI8+AJ8</f>
        <v>95.1</v>
      </c>
      <c r="AF8" s="61">
        <f t="shared" ref="AF8:AF54" si="18">AG8+AH8</f>
        <v>0</v>
      </c>
      <c r="AG8" s="174"/>
      <c r="AH8" s="61">
        <v>0</v>
      </c>
      <c r="AI8" s="174">
        <v>95.1</v>
      </c>
      <c r="AJ8" s="53"/>
      <c r="AK8" s="174">
        <f t="shared" si="3"/>
        <v>6683.3</v>
      </c>
      <c r="AL8" s="48"/>
      <c r="AM8" s="48">
        <v>3</v>
      </c>
      <c r="AN8" s="48">
        <v>3</v>
      </c>
      <c r="AO8" s="48">
        <v>3</v>
      </c>
      <c r="AP8" s="48"/>
      <c r="AQ8" s="48">
        <v>3</v>
      </c>
      <c r="AR8" s="48">
        <v>5400</v>
      </c>
      <c r="AS8" s="48"/>
      <c r="AT8" s="48">
        <v>413</v>
      </c>
      <c r="AU8" s="48">
        <v>360</v>
      </c>
      <c r="AV8" s="48">
        <v>429</v>
      </c>
      <c r="AW8" s="48">
        <f t="shared" si="4"/>
        <v>10869</v>
      </c>
      <c r="AX8" s="48"/>
      <c r="AY8" s="48">
        <v>10869</v>
      </c>
      <c r="AZ8" s="48">
        <v>2970</v>
      </c>
      <c r="BA8" s="48">
        <v>167</v>
      </c>
      <c r="BB8" s="48">
        <v>1102</v>
      </c>
      <c r="BC8" s="48">
        <v>1102</v>
      </c>
      <c r="BD8" s="48">
        <v>51</v>
      </c>
      <c r="BE8" s="48">
        <v>6</v>
      </c>
      <c r="BF8" s="48">
        <v>388</v>
      </c>
      <c r="BG8" s="48">
        <v>689</v>
      </c>
      <c r="BH8" s="48">
        <v>2</v>
      </c>
      <c r="BI8" s="48">
        <v>11400</v>
      </c>
      <c r="BJ8" s="48">
        <v>4905</v>
      </c>
      <c r="BK8" s="48">
        <v>135</v>
      </c>
      <c r="BL8" s="48"/>
      <c r="BM8" s="48"/>
      <c r="BN8" s="48"/>
      <c r="BO8" s="48">
        <f>G8</f>
        <v>1</v>
      </c>
      <c r="BP8" s="48">
        <f>R8</f>
        <v>6588.2</v>
      </c>
      <c r="BQ8" s="48">
        <f>S8</f>
        <v>4098.7</v>
      </c>
      <c r="BR8" s="48"/>
      <c r="BS8" s="48"/>
      <c r="BT8" s="48"/>
      <c r="BU8" s="48"/>
      <c r="BV8" s="48">
        <v>3</v>
      </c>
      <c r="BW8" s="48"/>
      <c r="BX8" s="48"/>
      <c r="BY8" s="48"/>
      <c r="BZ8" s="48"/>
      <c r="CA8" s="172">
        <v>2292.4999999999995</v>
      </c>
      <c r="CB8" s="172">
        <v>1045.0999999999999</v>
      </c>
      <c r="CC8" s="14">
        <v>3914</v>
      </c>
      <c r="CD8" s="14">
        <f t="shared" si="5"/>
        <v>2744</v>
      </c>
      <c r="CE8" s="54" t="str">
        <f t="shared" si="6"/>
        <v>0</v>
      </c>
      <c r="CF8" s="55">
        <f t="shared" si="7"/>
        <v>0</v>
      </c>
      <c r="CG8" s="54">
        <f t="shared" si="8"/>
        <v>1</v>
      </c>
      <c r="CH8" s="55">
        <f t="shared" si="9"/>
        <v>10869</v>
      </c>
      <c r="CI8" s="55">
        <f t="shared" ref="CI8:CJ45" si="19">CE8+CG8</f>
        <v>1</v>
      </c>
      <c r="CJ8" s="55">
        <f t="shared" si="19"/>
        <v>10869</v>
      </c>
      <c r="CK8" s="56">
        <v>32</v>
      </c>
      <c r="CL8" s="57" t="str">
        <f t="shared" si="10"/>
        <v>0</v>
      </c>
      <c r="CM8" s="57" t="str">
        <f t="shared" si="11"/>
        <v>0</v>
      </c>
      <c r="CN8" s="167">
        <f t="shared" si="12"/>
        <v>3.1085880817218667</v>
      </c>
      <c r="CO8" s="178" t="str">
        <f t="shared" si="13"/>
        <v>0</v>
      </c>
      <c r="CP8" s="178" t="str">
        <f t="shared" ref="CP8:CP54" si="20">IF(((Z8+AF8)/AK8*100&gt;=50), AK8, "0")</f>
        <v>0</v>
      </c>
      <c r="CQ8" s="167">
        <f t="shared" ref="CQ8:CQ54" si="21">(Z8+AF8)/AK8*100</f>
        <v>3.0643544356829708</v>
      </c>
      <c r="CR8" s="185">
        <v>1</v>
      </c>
      <c r="CS8" s="185">
        <v>0</v>
      </c>
      <c r="CT8" s="185">
        <v>0</v>
      </c>
      <c r="CU8" s="185">
        <v>0</v>
      </c>
      <c r="CV8" s="185">
        <v>2</v>
      </c>
      <c r="CW8" s="185">
        <v>0</v>
      </c>
      <c r="CX8" s="185">
        <v>0</v>
      </c>
      <c r="CY8" s="185">
        <v>0</v>
      </c>
      <c r="CZ8" s="185">
        <v>0</v>
      </c>
      <c r="DA8" s="186">
        <v>101</v>
      </c>
      <c r="DB8" s="187">
        <v>100</v>
      </c>
      <c r="DC8" s="188">
        <v>1</v>
      </c>
      <c r="DD8" s="185">
        <v>97</v>
      </c>
      <c r="DE8" s="185">
        <v>68</v>
      </c>
      <c r="DF8" s="189">
        <v>169</v>
      </c>
      <c r="DG8" s="185">
        <v>76</v>
      </c>
      <c r="DH8" s="185">
        <v>68</v>
      </c>
      <c r="DI8" s="189">
        <v>169</v>
      </c>
      <c r="DJ8" s="185">
        <v>76</v>
      </c>
      <c r="DK8" s="185">
        <v>1</v>
      </c>
      <c r="DL8" s="185">
        <v>1</v>
      </c>
      <c r="DM8" s="188">
        <v>1</v>
      </c>
      <c r="DN8" s="185">
        <v>1</v>
      </c>
      <c r="DO8" s="185">
        <v>1</v>
      </c>
      <c r="DP8" s="188">
        <v>1</v>
      </c>
      <c r="DQ8" s="185">
        <v>1</v>
      </c>
      <c r="DR8" s="184">
        <f t="shared" si="14"/>
        <v>101</v>
      </c>
      <c r="DS8" s="185">
        <v>101</v>
      </c>
    </row>
    <row r="9" spans="1:124">
      <c r="A9" s="43" t="s">
        <v>95</v>
      </c>
      <c r="B9" s="44">
        <v>3</v>
      </c>
      <c r="C9" s="13" t="s">
        <v>173</v>
      </c>
      <c r="D9" s="45">
        <v>1992</v>
      </c>
      <c r="E9" s="46"/>
      <c r="F9" s="46" t="s">
        <v>27</v>
      </c>
      <c r="G9" s="47">
        <v>1</v>
      </c>
      <c r="H9" s="46">
        <v>9</v>
      </c>
      <c r="I9" s="46" t="s">
        <v>99</v>
      </c>
      <c r="J9" s="48">
        <v>17018</v>
      </c>
      <c r="K9" s="48">
        <v>706</v>
      </c>
      <c r="L9" s="48"/>
      <c r="M9" s="48">
        <v>695</v>
      </c>
      <c r="N9" s="48">
        <v>62</v>
      </c>
      <c r="O9" s="48">
        <v>169</v>
      </c>
      <c r="P9" s="48">
        <v>62</v>
      </c>
      <c r="Q9" s="59">
        <v>141</v>
      </c>
      <c r="R9" s="61">
        <v>4417.7</v>
      </c>
      <c r="S9" s="52">
        <v>2632.7</v>
      </c>
      <c r="T9" s="19">
        <f t="shared" si="0"/>
        <v>60</v>
      </c>
      <c r="U9" s="215">
        <f t="shared" si="15"/>
        <v>0.97387780971999016</v>
      </c>
      <c r="V9" s="50">
        <f t="shared" si="1"/>
        <v>4302.3</v>
      </c>
      <c r="W9" s="50">
        <f t="shared" si="2"/>
        <v>2569.3999999999996</v>
      </c>
      <c r="X9" s="22">
        <v>2</v>
      </c>
      <c r="Y9" s="215">
        <f t="shared" si="16"/>
        <v>2.6122190280009963E-2</v>
      </c>
      <c r="Z9" s="170">
        <v>115.4</v>
      </c>
      <c r="AA9" s="170">
        <v>63.3</v>
      </c>
      <c r="AB9" s="51"/>
      <c r="AC9" s="51"/>
      <c r="AD9" s="51"/>
      <c r="AE9" s="170">
        <f t="shared" si="17"/>
        <v>0</v>
      </c>
      <c r="AF9" s="61">
        <f t="shared" si="18"/>
        <v>0</v>
      </c>
      <c r="AG9" s="174"/>
      <c r="AH9" s="61">
        <v>0</v>
      </c>
      <c r="AI9" s="174"/>
      <c r="AJ9" s="53"/>
      <c r="AK9" s="174">
        <f t="shared" si="3"/>
        <v>4417.7</v>
      </c>
      <c r="AL9" s="48"/>
      <c r="AM9" s="48">
        <v>2</v>
      </c>
      <c r="AN9" s="48">
        <v>2</v>
      </c>
      <c r="AO9" s="48">
        <v>2</v>
      </c>
      <c r="AP9" s="48"/>
      <c r="AQ9" s="48">
        <v>2</v>
      </c>
      <c r="AR9" s="48">
        <v>3930</v>
      </c>
      <c r="AS9" s="48"/>
      <c r="AT9" s="48">
        <v>262</v>
      </c>
      <c r="AU9" s="48">
        <v>157</v>
      </c>
      <c r="AV9" s="48">
        <v>140</v>
      </c>
      <c r="AW9" s="48">
        <f t="shared" si="4"/>
        <v>7246</v>
      </c>
      <c r="AX9" s="48">
        <v>7246</v>
      </c>
      <c r="AY9" s="48"/>
      <c r="AZ9" s="48">
        <v>2140</v>
      </c>
      <c r="BA9" s="48">
        <v>136</v>
      </c>
      <c r="BB9" s="48">
        <v>663</v>
      </c>
      <c r="BC9" s="48">
        <v>663</v>
      </c>
      <c r="BD9" s="48">
        <v>34</v>
      </c>
      <c r="BE9" s="48">
        <v>4</v>
      </c>
      <c r="BF9" s="48">
        <v>231</v>
      </c>
      <c r="BG9" s="48">
        <v>603</v>
      </c>
      <c r="BH9" s="48">
        <v>2</v>
      </c>
      <c r="BI9" s="48">
        <v>3570</v>
      </c>
      <c r="BJ9" s="48">
        <v>1400</v>
      </c>
      <c r="BK9" s="48">
        <v>90</v>
      </c>
      <c r="BL9" s="48"/>
      <c r="BM9" s="48"/>
      <c r="BN9" s="48"/>
      <c r="BO9" s="48">
        <f>G9</f>
        <v>1</v>
      </c>
      <c r="BP9" s="48">
        <f>R9</f>
        <v>4417.7</v>
      </c>
      <c r="BQ9" s="48">
        <f>S9</f>
        <v>2632.7</v>
      </c>
      <c r="BR9" s="48"/>
      <c r="BS9" s="48"/>
      <c r="BT9" s="48"/>
      <c r="BU9" s="48"/>
      <c r="BV9" s="48">
        <v>2</v>
      </c>
      <c r="BW9" s="48">
        <f>BC9</f>
        <v>663</v>
      </c>
      <c r="BX9" s="48">
        <v>6863</v>
      </c>
      <c r="BY9" s="48"/>
      <c r="BZ9" s="48"/>
      <c r="CA9" s="172">
        <v>1183.4000000000001</v>
      </c>
      <c r="CB9" s="172">
        <v>517.70000000000005</v>
      </c>
      <c r="CC9" s="14">
        <v>1646</v>
      </c>
      <c r="CD9" s="14">
        <f t="shared" si="5"/>
        <v>940</v>
      </c>
      <c r="CE9" s="54">
        <f t="shared" si="6"/>
        <v>1</v>
      </c>
      <c r="CF9" s="55">
        <f t="shared" si="7"/>
        <v>7246</v>
      </c>
      <c r="CG9" s="54" t="str">
        <f t="shared" si="8"/>
        <v>0</v>
      </c>
      <c r="CH9" s="55">
        <f t="shared" si="9"/>
        <v>0</v>
      </c>
      <c r="CI9" s="55">
        <f t="shared" si="19"/>
        <v>1</v>
      </c>
      <c r="CJ9" s="55">
        <f t="shared" si="19"/>
        <v>7246</v>
      </c>
      <c r="CK9" s="41">
        <v>29</v>
      </c>
      <c r="CL9" s="57" t="str">
        <f t="shared" si="10"/>
        <v>0</v>
      </c>
      <c r="CM9" s="57" t="str">
        <f t="shared" si="11"/>
        <v>0</v>
      </c>
      <c r="CN9" s="167">
        <f t="shared" si="12"/>
        <v>2.6122190280009963</v>
      </c>
      <c r="CO9" s="178" t="str">
        <f t="shared" si="13"/>
        <v>0</v>
      </c>
      <c r="CP9" s="178" t="str">
        <f t="shared" si="20"/>
        <v>0</v>
      </c>
      <c r="CQ9" s="167">
        <f t="shared" si="21"/>
        <v>2.6122190280009963</v>
      </c>
      <c r="CR9" s="185">
        <v>1</v>
      </c>
      <c r="CS9" s="185">
        <v>0</v>
      </c>
      <c r="CT9" s="185">
        <v>0</v>
      </c>
      <c r="CU9" s="185">
        <v>0</v>
      </c>
      <c r="CV9" s="185">
        <v>2</v>
      </c>
      <c r="CW9" s="185">
        <v>0</v>
      </c>
      <c r="CX9" s="185">
        <v>0</v>
      </c>
      <c r="CY9" s="185">
        <v>0</v>
      </c>
      <c r="CZ9" s="185">
        <v>0</v>
      </c>
      <c r="DA9" s="186">
        <v>62</v>
      </c>
      <c r="DB9" s="187">
        <v>60</v>
      </c>
      <c r="DC9" s="188">
        <v>2</v>
      </c>
      <c r="DD9" s="185">
        <v>57</v>
      </c>
      <c r="DE9" s="185">
        <v>45</v>
      </c>
      <c r="DF9" s="189">
        <v>93</v>
      </c>
      <c r="DG9" s="185">
        <v>57</v>
      </c>
      <c r="DH9" s="185">
        <v>45</v>
      </c>
      <c r="DI9" s="189">
        <v>93</v>
      </c>
      <c r="DJ9" s="185">
        <v>57</v>
      </c>
      <c r="DK9" s="185">
        <v>2</v>
      </c>
      <c r="DL9" s="185">
        <v>1</v>
      </c>
      <c r="DM9" s="188">
        <v>4</v>
      </c>
      <c r="DN9" s="185">
        <v>2</v>
      </c>
      <c r="DO9" s="185">
        <v>1</v>
      </c>
      <c r="DP9" s="188">
        <v>4</v>
      </c>
      <c r="DQ9" s="185">
        <v>2</v>
      </c>
      <c r="DR9" s="184">
        <f t="shared" si="14"/>
        <v>62</v>
      </c>
      <c r="DS9" s="185">
        <v>62</v>
      </c>
    </row>
    <row r="10" spans="1:124">
      <c r="A10" s="43" t="s">
        <v>95</v>
      </c>
      <c r="B10" s="44">
        <v>4</v>
      </c>
      <c r="C10" s="13" t="s">
        <v>116</v>
      </c>
      <c r="D10" s="45">
        <v>1983</v>
      </c>
      <c r="E10" s="46"/>
      <c r="F10" s="46" t="s">
        <v>28</v>
      </c>
      <c r="G10" s="47">
        <v>1</v>
      </c>
      <c r="H10" s="46">
        <v>9</v>
      </c>
      <c r="I10" s="46" t="s">
        <v>112</v>
      </c>
      <c r="J10" s="48">
        <f>39273+19324+39325+18950</f>
        <v>116872</v>
      </c>
      <c r="K10" s="48">
        <f>1509+760+1540+542</f>
        <v>4351</v>
      </c>
      <c r="L10" s="48"/>
      <c r="M10" s="48">
        <f>1452+721+528+1462</f>
        <v>4163</v>
      </c>
      <c r="N10" s="48">
        <v>402</v>
      </c>
      <c r="O10" s="48">
        <v>1011</v>
      </c>
      <c r="P10" s="48">
        <v>407</v>
      </c>
      <c r="Q10" s="60">
        <v>940</v>
      </c>
      <c r="R10" s="61">
        <v>25019</v>
      </c>
      <c r="S10" s="52">
        <v>15375.3</v>
      </c>
      <c r="T10" s="20">
        <f t="shared" si="0"/>
        <v>364</v>
      </c>
      <c r="U10" s="215">
        <f t="shared" si="15"/>
        <v>0.89999200607538277</v>
      </c>
      <c r="V10" s="62">
        <f t="shared" si="1"/>
        <v>22516.9</v>
      </c>
      <c r="W10" s="62">
        <f t="shared" si="2"/>
        <v>13807.8</v>
      </c>
      <c r="X10" s="22">
        <v>38</v>
      </c>
      <c r="Y10" s="215">
        <f t="shared" si="16"/>
        <v>0.10000799392461729</v>
      </c>
      <c r="Z10" s="170">
        <v>2502.1</v>
      </c>
      <c r="AA10" s="170">
        <v>1567.5</v>
      </c>
      <c r="AB10" s="51"/>
      <c r="AC10" s="51"/>
      <c r="AD10" s="51"/>
      <c r="AE10" s="170">
        <f t="shared" si="17"/>
        <v>103.7</v>
      </c>
      <c r="AF10" s="61">
        <f t="shared" si="18"/>
        <v>103.7</v>
      </c>
      <c r="AG10" s="174"/>
      <c r="AH10" s="61">
        <v>103.7</v>
      </c>
      <c r="AI10" s="174"/>
      <c r="AJ10" s="53"/>
      <c r="AK10" s="174">
        <f t="shared" si="3"/>
        <v>25122.7</v>
      </c>
      <c r="AL10" s="48"/>
      <c r="AM10" s="48">
        <f>4+2+1+4</f>
        <v>11</v>
      </c>
      <c r="AN10" s="48">
        <f>4+2+1+4</f>
        <v>11</v>
      </c>
      <c r="AO10" s="48">
        <f>4+2+1+4</f>
        <v>11</v>
      </c>
      <c r="AP10" s="48"/>
      <c r="AQ10" s="48">
        <f>4+2+1+4</f>
        <v>11</v>
      </c>
      <c r="AR10" s="48">
        <f>7020+3480+2130+6570</f>
        <v>19200</v>
      </c>
      <c r="AS10" s="48"/>
      <c r="AT10" s="48">
        <f>1535</f>
        <v>1535</v>
      </c>
      <c r="AU10" s="48">
        <f>549+320+102+550</f>
        <v>1521</v>
      </c>
      <c r="AV10" s="48">
        <f>572+286+143+572</f>
        <v>1573</v>
      </c>
      <c r="AW10" s="48">
        <f t="shared" ref="AW10:AW40" si="22">SUM(AX10+AY10)</f>
        <v>41666</v>
      </c>
      <c r="AX10" s="48">
        <f>14492+7246+5436+14492</f>
        <v>41666</v>
      </c>
      <c r="AY10" s="48"/>
      <c r="AZ10" s="48">
        <f>3800+1900+0+3800</f>
        <v>9500</v>
      </c>
      <c r="BA10" s="48">
        <f>337+164+164+130</f>
        <v>795</v>
      </c>
      <c r="BB10" s="48">
        <f>1428+702+521+1430</f>
        <v>4081</v>
      </c>
      <c r="BC10" s="48">
        <f>1428+702+521+1430</f>
        <v>4081</v>
      </c>
      <c r="BD10" s="48">
        <f>68+34+17+68</f>
        <v>187</v>
      </c>
      <c r="BE10" s="48">
        <f>8+4+8+2</f>
        <v>22</v>
      </c>
      <c r="BF10" s="48">
        <f>514+253+505+141</f>
        <v>1413</v>
      </c>
      <c r="BG10" s="48">
        <f>1354+673+1345+459</f>
        <v>3831</v>
      </c>
      <c r="BH10" s="48"/>
      <c r="BI10" s="48">
        <f>15200+7600+3800+15200</f>
        <v>41800</v>
      </c>
      <c r="BJ10" s="48">
        <f>6540+3270+1635+6540</f>
        <v>17985</v>
      </c>
      <c r="BK10" s="48">
        <f>380+90+45+380</f>
        <v>895</v>
      </c>
      <c r="BL10" s="48"/>
      <c r="BM10" s="48"/>
      <c r="BN10" s="48"/>
      <c r="BO10" s="48"/>
      <c r="BP10" s="48"/>
      <c r="BQ10" s="48"/>
      <c r="BR10" s="48">
        <f>G10</f>
        <v>1</v>
      </c>
      <c r="BS10" s="48">
        <f>R10</f>
        <v>25019</v>
      </c>
      <c r="BT10" s="48">
        <f>S10</f>
        <v>15375.3</v>
      </c>
      <c r="BU10" s="48"/>
      <c r="BV10" s="48">
        <v>6</v>
      </c>
      <c r="BW10" s="48"/>
      <c r="BX10" s="48"/>
      <c r="BY10" s="48"/>
      <c r="BZ10" s="48">
        <v>6570</v>
      </c>
      <c r="CA10" s="172">
        <v>5281.2000000000007</v>
      </c>
      <c r="CB10" s="172">
        <v>4403.6000000000004</v>
      </c>
      <c r="CC10" s="14">
        <f>3030+6440</f>
        <v>9470</v>
      </c>
      <c r="CD10" s="14">
        <f t="shared" si="5"/>
        <v>5119</v>
      </c>
      <c r="CE10" s="54">
        <f t="shared" si="6"/>
        <v>1</v>
      </c>
      <c r="CF10" s="55">
        <f t="shared" si="7"/>
        <v>41666</v>
      </c>
      <c r="CG10" s="54" t="str">
        <f t="shared" si="8"/>
        <v>0</v>
      </c>
      <c r="CH10" s="55">
        <f t="shared" si="9"/>
        <v>0</v>
      </c>
      <c r="CI10" s="55">
        <f t="shared" si="19"/>
        <v>1</v>
      </c>
      <c r="CJ10" s="55">
        <f t="shared" si="19"/>
        <v>41666</v>
      </c>
      <c r="CK10" s="41">
        <v>32</v>
      </c>
      <c r="CL10" s="57" t="str">
        <f t="shared" si="10"/>
        <v>0</v>
      </c>
      <c r="CM10" s="57" t="str">
        <f t="shared" si="11"/>
        <v>0</v>
      </c>
      <c r="CN10" s="167">
        <f t="shared" si="12"/>
        <v>10.00079939246173</v>
      </c>
      <c r="CO10" s="178" t="str">
        <f t="shared" si="13"/>
        <v>0</v>
      </c>
      <c r="CP10" s="178" t="str">
        <f t="shared" si="20"/>
        <v>0</v>
      </c>
      <c r="CQ10" s="167">
        <f t="shared" si="21"/>
        <v>10.372292787001395</v>
      </c>
      <c r="CR10" s="185">
        <v>1</v>
      </c>
      <c r="CS10" s="185">
        <v>0</v>
      </c>
      <c r="CT10" s="185">
        <v>0</v>
      </c>
      <c r="CU10" s="185">
        <v>0</v>
      </c>
      <c r="CV10" s="185">
        <v>6</v>
      </c>
      <c r="CW10" s="185">
        <v>0</v>
      </c>
      <c r="CX10" s="185">
        <v>0</v>
      </c>
      <c r="CY10" s="185">
        <v>0</v>
      </c>
      <c r="CZ10" s="185">
        <v>0</v>
      </c>
      <c r="DA10" s="186">
        <v>402</v>
      </c>
      <c r="DB10" s="187">
        <v>368</v>
      </c>
      <c r="DC10" s="188">
        <v>34</v>
      </c>
      <c r="DD10" s="185">
        <v>356</v>
      </c>
      <c r="DE10" s="185">
        <v>308</v>
      </c>
      <c r="DF10" s="189">
        <v>602</v>
      </c>
      <c r="DG10" s="185">
        <v>459</v>
      </c>
      <c r="DH10" s="185">
        <v>308</v>
      </c>
      <c r="DI10" s="189">
        <v>602</v>
      </c>
      <c r="DJ10" s="185">
        <v>469</v>
      </c>
      <c r="DK10" s="185">
        <v>32</v>
      </c>
      <c r="DL10" s="185">
        <v>10</v>
      </c>
      <c r="DM10" s="188">
        <v>37</v>
      </c>
      <c r="DN10" s="185">
        <v>12</v>
      </c>
      <c r="DO10" s="185">
        <v>10</v>
      </c>
      <c r="DP10" s="188">
        <v>37</v>
      </c>
      <c r="DQ10" s="185">
        <v>12</v>
      </c>
      <c r="DR10" s="184">
        <f t="shared" si="14"/>
        <v>402</v>
      </c>
      <c r="DS10" s="185">
        <v>402</v>
      </c>
    </row>
    <row r="11" spans="1:124">
      <c r="A11" s="43" t="s">
        <v>95</v>
      </c>
      <c r="B11" s="44">
        <v>5</v>
      </c>
      <c r="C11" s="13" t="s">
        <v>68</v>
      </c>
      <c r="D11" s="45">
        <v>1950</v>
      </c>
      <c r="E11" s="46"/>
      <c r="F11" s="46" t="s">
        <v>29</v>
      </c>
      <c r="G11" s="47">
        <v>1</v>
      </c>
      <c r="H11" s="46">
        <v>5</v>
      </c>
      <c r="I11" s="46" t="s">
        <v>100</v>
      </c>
      <c r="J11" s="48">
        <v>51096</v>
      </c>
      <c r="K11" s="48">
        <v>1976</v>
      </c>
      <c r="L11" s="48">
        <v>2406</v>
      </c>
      <c r="M11" s="48">
        <v>0</v>
      </c>
      <c r="N11" s="48">
        <v>64</v>
      </c>
      <c r="O11" s="48">
        <v>166</v>
      </c>
      <c r="P11" s="48">
        <v>69</v>
      </c>
      <c r="Q11" s="60">
        <v>138</v>
      </c>
      <c r="R11" s="61">
        <v>4780.04</v>
      </c>
      <c r="S11" s="52">
        <v>2973.55</v>
      </c>
      <c r="T11" s="20">
        <f t="shared" si="0"/>
        <v>58</v>
      </c>
      <c r="U11" s="215">
        <f t="shared" si="15"/>
        <v>0.91047564455527563</v>
      </c>
      <c r="V11" s="50">
        <f t="shared" si="1"/>
        <v>4352.1099999999997</v>
      </c>
      <c r="W11" s="50">
        <f t="shared" si="2"/>
        <v>2702.34</v>
      </c>
      <c r="X11" s="22">
        <v>6</v>
      </c>
      <c r="Y11" s="215">
        <f t="shared" si="16"/>
        <v>8.9524355444724313E-2</v>
      </c>
      <c r="Z11" s="170">
        <v>427.93</v>
      </c>
      <c r="AA11" s="170">
        <v>271.20999999999998</v>
      </c>
      <c r="AB11" s="51"/>
      <c r="AC11" s="51"/>
      <c r="AD11" s="51"/>
      <c r="AE11" s="170">
        <f t="shared" si="17"/>
        <v>2838</v>
      </c>
      <c r="AF11" s="61">
        <f t="shared" si="18"/>
        <v>958.8</v>
      </c>
      <c r="AG11" s="174"/>
      <c r="AH11" s="61">
        <v>958.8</v>
      </c>
      <c r="AI11" s="174">
        <v>1879.2</v>
      </c>
      <c r="AJ11" s="53"/>
      <c r="AK11" s="174">
        <f t="shared" si="3"/>
        <v>7618.04</v>
      </c>
      <c r="AL11" s="48"/>
      <c r="AM11" s="48"/>
      <c r="AN11" s="48">
        <v>5</v>
      </c>
      <c r="AO11" s="48"/>
      <c r="AP11" s="48"/>
      <c r="AQ11" s="48">
        <v>1</v>
      </c>
      <c r="AR11" s="48">
        <v>4382</v>
      </c>
      <c r="AS11" s="48">
        <v>1376</v>
      </c>
      <c r="AT11" s="48">
        <v>435</v>
      </c>
      <c r="AU11" s="48">
        <v>254</v>
      </c>
      <c r="AV11" s="48">
        <v>150</v>
      </c>
      <c r="AW11" s="48">
        <f t="shared" si="22"/>
        <v>4965</v>
      </c>
      <c r="AX11" s="48"/>
      <c r="AY11" s="48">
        <v>4965</v>
      </c>
      <c r="AZ11" s="48"/>
      <c r="BA11" s="48">
        <v>157</v>
      </c>
      <c r="BB11" s="48">
        <v>1968</v>
      </c>
      <c r="BC11" s="48">
        <v>1968</v>
      </c>
      <c r="BD11" s="48">
        <v>25</v>
      </c>
      <c r="BE11" s="48">
        <v>10</v>
      </c>
      <c r="BF11" s="48">
        <v>238</v>
      </c>
      <c r="BG11" s="48">
        <v>628</v>
      </c>
      <c r="BH11" s="48"/>
      <c r="BI11" s="48">
        <v>4868</v>
      </c>
      <c r="BJ11" s="48">
        <v>190</v>
      </c>
      <c r="BK11" s="48"/>
      <c r="BL11" s="48">
        <f>G11</f>
        <v>1</v>
      </c>
      <c r="BM11" s="48">
        <f>R11</f>
        <v>4780.04</v>
      </c>
      <c r="BN11" s="48">
        <f>S11</f>
        <v>2973.55</v>
      </c>
      <c r="BO11" s="48"/>
      <c r="BP11" s="48"/>
      <c r="BQ11" s="48"/>
      <c r="BR11" s="48"/>
      <c r="BS11" s="48"/>
      <c r="BT11" s="48"/>
      <c r="BU11" s="48"/>
      <c r="BV11" s="48">
        <v>2</v>
      </c>
      <c r="BW11" s="48">
        <f>BC11</f>
        <v>1968</v>
      </c>
      <c r="BX11" s="48">
        <v>5180</v>
      </c>
      <c r="BY11" s="48"/>
      <c r="BZ11" s="48">
        <f>AR11</f>
        <v>4382</v>
      </c>
      <c r="CA11" s="172">
        <v>529.9</v>
      </c>
      <c r="CB11" s="172">
        <v>514.97</v>
      </c>
      <c r="CC11" s="14">
        <v>4174</v>
      </c>
      <c r="CD11" s="14">
        <f t="shared" si="5"/>
        <v>2198</v>
      </c>
      <c r="CE11" s="54" t="str">
        <f t="shared" si="6"/>
        <v>0</v>
      </c>
      <c r="CF11" s="55">
        <f t="shared" si="7"/>
        <v>0</v>
      </c>
      <c r="CG11" s="54">
        <f t="shared" si="8"/>
        <v>1</v>
      </c>
      <c r="CH11" s="55">
        <f t="shared" si="9"/>
        <v>4965</v>
      </c>
      <c r="CI11" s="55">
        <f t="shared" si="19"/>
        <v>1</v>
      </c>
      <c r="CJ11" s="55">
        <f t="shared" si="19"/>
        <v>4965</v>
      </c>
      <c r="CK11" s="41">
        <v>38</v>
      </c>
      <c r="CL11" s="57" t="str">
        <f t="shared" si="10"/>
        <v>0</v>
      </c>
      <c r="CM11" s="57" t="str">
        <f t="shared" si="11"/>
        <v>0</v>
      </c>
      <c r="CN11" s="167">
        <f t="shared" si="12"/>
        <v>8.9524355444724311</v>
      </c>
      <c r="CO11" s="178" t="str">
        <f t="shared" si="13"/>
        <v>0</v>
      </c>
      <c r="CP11" s="178" t="str">
        <f t="shared" si="20"/>
        <v>0</v>
      </c>
      <c r="CQ11" s="167">
        <f t="shared" si="21"/>
        <v>18.203238628308593</v>
      </c>
      <c r="CR11" s="185">
        <v>1</v>
      </c>
      <c r="CS11" s="185">
        <v>0</v>
      </c>
      <c r="CT11" s="185">
        <v>0</v>
      </c>
      <c r="CU11" s="185">
        <v>0</v>
      </c>
      <c r="CV11" s="185">
        <v>1</v>
      </c>
      <c r="CW11" s="185">
        <v>0</v>
      </c>
      <c r="CX11" s="185">
        <v>0</v>
      </c>
      <c r="CY11" s="185">
        <v>0</v>
      </c>
      <c r="CZ11" s="185">
        <v>0</v>
      </c>
      <c r="DA11" s="186">
        <v>64</v>
      </c>
      <c r="DB11" s="187">
        <v>61</v>
      </c>
      <c r="DC11" s="188">
        <v>3</v>
      </c>
      <c r="DD11" s="185">
        <v>59</v>
      </c>
      <c r="DE11" s="185">
        <v>18</v>
      </c>
      <c r="DF11" s="189">
        <v>89</v>
      </c>
      <c r="DG11" s="185">
        <v>29</v>
      </c>
      <c r="DH11" s="185">
        <v>18</v>
      </c>
      <c r="DI11" s="189">
        <v>89</v>
      </c>
      <c r="DJ11" s="185">
        <v>38</v>
      </c>
      <c r="DK11" s="185">
        <v>3</v>
      </c>
      <c r="DL11" s="185">
        <v>0</v>
      </c>
      <c r="DM11" s="188">
        <v>12</v>
      </c>
      <c r="DN11" s="185">
        <v>0</v>
      </c>
      <c r="DO11" s="185">
        <v>0</v>
      </c>
      <c r="DP11" s="188">
        <v>12</v>
      </c>
      <c r="DQ11" s="185">
        <v>0</v>
      </c>
      <c r="DR11" s="184">
        <f t="shared" si="14"/>
        <v>64</v>
      </c>
      <c r="DS11" s="185">
        <v>26</v>
      </c>
    </row>
    <row r="12" spans="1:124">
      <c r="A12" s="43" t="s">
        <v>95</v>
      </c>
      <c r="B12" s="44">
        <v>6</v>
      </c>
      <c r="C12" s="13" t="s">
        <v>69</v>
      </c>
      <c r="D12" s="45">
        <v>1983</v>
      </c>
      <c r="E12" s="46"/>
      <c r="F12" s="46" t="s">
        <v>28</v>
      </c>
      <c r="G12" s="47">
        <v>1</v>
      </c>
      <c r="H12" s="46">
        <v>9</v>
      </c>
      <c r="I12" s="46" t="s">
        <v>99</v>
      </c>
      <c r="J12" s="48">
        <v>19852</v>
      </c>
      <c r="K12" s="48">
        <v>718</v>
      </c>
      <c r="L12" s="48"/>
      <c r="M12" s="48">
        <v>722</v>
      </c>
      <c r="N12" s="48">
        <v>70</v>
      </c>
      <c r="O12" s="48">
        <v>196</v>
      </c>
      <c r="P12" s="48">
        <v>70</v>
      </c>
      <c r="Q12" s="60">
        <v>180</v>
      </c>
      <c r="R12" s="61">
        <v>4532.3999999999996</v>
      </c>
      <c r="S12" s="52">
        <v>2887.5</v>
      </c>
      <c r="T12" s="20">
        <f t="shared" si="0"/>
        <v>64</v>
      </c>
      <c r="U12" s="215">
        <f t="shared" si="15"/>
        <v>0.91348954196452203</v>
      </c>
      <c r="V12" s="50">
        <f t="shared" si="1"/>
        <v>4140.2999999999993</v>
      </c>
      <c r="W12" s="50">
        <f t="shared" si="2"/>
        <v>2636.8</v>
      </c>
      <c r="X12" s="22">
        <v>6</v>
      </c>
      <c r="Y12" s="215">
        <f t="shared" si="16"/>
        <v>8.6510458035477911E-2</v>
      </c>
      <c r="Z12" s="170">
        <v>392.1</v>
      </c>
      <c r="AA12" s="170">
        <v>250.7</v>
      </c>
      <c r="AB12" s="51"/>
      <c r="AC12" s="51"/>
      <c r="AD12" s="51"/>
      <c r="AE12" s="170">
        <f t="shared" si="17"/>
        <v>0</v>
      </c>
      <c r="AF12" s="61">
        <f t="shared" si="18"/>
        <v>0</v>
      </c>
      <c r="AG12" s="174"/>
      <c r="AH12" s="61">
        <v>0</v>
      </c>
      <c r="AI12" s="174"/>
      <c r="AJ12" s="53"/>
      <c r="AK12" s="174">
        <f t="shared" si="3"/>
        <v>4532.3999999999996</v>
      </c>
      <c r="AL12" s="48"/>
      <c r="AM12" s="48">
        <v>2</v>
      </c>
      <c r="AN12" s="48">
        <v>2</v>
      </c>
      <c r="AO12" s="48">
        <v>2</v>
      </c>
      <c r="AP12" s="48"/>
      <c r="AQ12" s="48">
        <v>2</v>
      </c>
      <c r="AR12" s="48">
        <v>3930</v>
      </c>
      <c r="AS12" s="48"/>
      <c r="AT12" s="48"/>
      <c r="AU12" s="48">
        <v>197</v>
      </c>
      <c r="AV12" s="48">
        <v>286</v>
      </c>
      <c r="AW12" s="48">
        <f t="shared" si="22"/>
        <v>7246</v>
      </c>
      <c r="AX12" s="48">
        <v>7246</v>
      </c>
      <c r="AY12" s="48"/>
      <c r="AZ12" s="48">
        <v>2140</v>
      </c>
      <c r="BA12" s="48">
        <v>170</v>
      </c>
      <c r="BB12" s="48">
        <v>722</v>
      </c>
      <c r="BC12" s="48">
        <v>722</v>
      </c>
      <c r="BD12" s="48">
        <v>34</v>
      </c>
      <c r="BE12" s="48">
        <v>4</v>
      </c>
      <c r="BF12" s="48">
        <v>266</v>
      </c>
      <c r="BG12" s="48">
        <v>686</v>
      </c>
      <c r="BH12" s="48"/>
      <c r="BI12" s="48">
        <v>7600</v>
      </c>
      <c r="BJ12" s="48">
        <v>3270</v>
      </c>
      <c r="BK12" s="48">
        <v>90</v>
      </c>
      <c r="BL12" s="48"/>
      <c r="BM12" s="48"/>
      <c r="BN12" s="48"/>
      <c r="BO12" s="48">
        <f>G12</f>
        <v>1</v>
      </c>
      <c r="BP12" s="48">
        <f>R12</f>
        <v>4532.3999999999996</v>
      </c>
      <c r="BQ12" s="48">
        <f>S12</f>
        <v>2887.5</v>
      </c>
      <c r="BR12" s="48"/>
      <c r="BS12" s="48"/>
      <c r="BT12" s="48"/>
      <c r="BU12" s="48"/>
      <c r="BV12" s="48">
        <v>2</v>
      </c>
      <c r="BW12" s="48"/>
      <c r="BX12" s="48"/>
      <c r="BY12" s="48"/>
      <c r="BZ12" s="48"/>
      <c r="CA12" s="172">
        <v>826.40000000000009</v>
      </c>
      <c r="CB12" s="172">
        <v>778</v>
      </c>
      <c r="CC12" s="14">
        <v>1483</v>
      </c>
      <c r="CD12" s="14">
        <f t="shared" si="5"/>
        <v>765</v>
      </c>
      <c r="CE12" s="54">
        <f t="shared" si="6"/>
        <v>1</v>
      </c>
      <c r="CF12" s="55">
        <f t="shared" si="7"/>
        <v>7246</v>
      </c>
      <c r="CG12" s="54" t="str">
        <f t="shared" si="8"/>
        <v>0</v>
      </c>
      <c r="CH12" s="55">
        <f t="shared" si="9"/>
        <v>0</v>
      </c>
      <c r="CI12" s="55">
        <f t="shared" si="19"/>
        <v>1</v>
      </c>
      <c r="CJ12" s="55">
        <f t="shared" si="19"/>
        <v>7246</v>
      </c>
      <c r="CK12" s="41">
        <v>29</v>
      </c>
      <c r="CL12" s="57" t="str">
        <f t="shared" si="10"/>
        <v>0</v>
      </c>
      <c r="CM12" s="57" t="str">
        <f t="shared" si="11"/>
        <v>0</v>
      </c>
      <c r="CN12" s="167">
        <f t="shared" si="12"/>
        <v>8.6510458035477917</v>
      </c>
      <c r="CO12" s="178" t="str">
        <f t="shared" si="13"/>
        <v>0</v>
      </c>
      <c r="CP12" s="178" t="str">
        <f t="shared" si="20"/>
        <v>0</v>
      </c>
      <c r="CQ12" s="167">
        <f t="shared" si="21"/>
        <v>8.6510458035477917</v>
      </c>
      <c r="CR12" s="185">
        <v>1</v>
      </c>
      <c r="CS12" s="185">
        <v>0</v>
      </c>
      <c r="CT12" s="185">
        <v>0</v>
      </c>
      <c r="CU12" s="185">
        <v>0</v>
      </c>
      <c r="CV12" s="185">
        <v>2</v>
      </c>
      <c r="CW12" s="185">
        <v>0</v>
      </c>
      <c r="CX12" s="185">
        <v>0</v>
      </c>
      <c r="CY12" s="185">
        <v>0</v>
      </c>
      <c r="CZ12" s="185">
        <v>0</v>
      </c>
      <c r="DA12" s="186">
        <v>70</v>
      </c>
      <c r="DB12" s="187">
        <v>65</v>
      </c>
      <c r="DC12" s="188">
        <v>5</v>
      </c>
      <c r="DD12" s="185">
        <v>65</v>
      </c>
      <c r="DE12" s="185">
        <v>43</v>
      </c>
      <c r="DF12" s="189">
        <v>120</v>
      </c>
      <c r="DG12" s="185">
        <v>50</v>
      </c>
      <c r="DH12" s="185">
        <v>43</v>
      </c>
      <c r="DI12" s="189">
        <v>120</v>
      </c>
      <c r="DJ12" s="185">
        <v>51</v>
      </c>
      <c r="DK12" s="185">
        <v>3</v>
      </c>
      <c r="DL12" s="185">
        <v>1</v>
      </c>
      <c r="DM12" s="188">
        <v>5</v>
      </c>
      <c r="DN12" s="185">
        <v>1</v>
      </c>
      <c r="DO12" s="185">
        <v>1</v>
      </c>
      <c r="DP12" s="188">
        <v>5</v>
      </c>
      <c r="DQ12" s="185">
        <v>1</v>
      </c>
      <c r="DR12" s="184">
        <f t="shared" si="14"/>
        <v>70</v>
      </c>
      <c r="DS12" s="185">
        <v>70</v>
      </c>
    </row>
    <row r="13" spans="1:124">
      <c r="A13" s="43" t="s">
        <v>95</v>
      </c>
      <c r="B13" s="44">
        <v>7</v>
      </c>
      <c r="C13" s="13" t="s">
        <v>172</v>
      </c>
      <c r="D13" s="45">
        <v>1983</v>
      </c>
      <c r="E13" s="46"/>
      <c r="F13" s="46" t="s">
        <v>28</v>
      </c>
      <c r="G13" s="47">
        <v>1</v>
      </c>
      <c r="H13" s="46">
        <v>9</v>
      </c>
      <c r="I13" s="46" t="s">
        <v>99</v>
      </c>
      <c r="J13" s="48">
        <v>29545</v>
      </c>
      <c r="K13" s="48">
        <v>1078</v>
      </c>
      <c r="L13" s="48"/>
      <c r="M13" s="48">
        <v>1078</v>
      </c>
      <c r="N13" s="48">
        <v>105</v>
      </c>
      <c r="O13" s="48">
        <v>285</v>
      </c>
      <c r="P13" s="48">
        <v>106</v>
      </c>
      <c r="Q13" s="60">
        <v>245</v>
      </c>
      <c r="R13" s="61">
        <v>6777.4</v>
      </c>
      <c r="S13" s="52">
        <v>4254.1000000000004</v>
      </c>
      <c r="T13" s="20">
        <f t="shared" si="0"/>
        <v>99</v>
      </c>
      <c r="U13" s="215">
        <f t="shared" si="15"/>
        <v>0.94692655000442649</v>
      </c>
      <c r="V13" s="50">
        <f t="shared" si="1"/>
        <v>6417.7</v>
      </c>
      <c r="W13" s="50">
        <f t="shared" si="2"/>
        <v>4027.5000000000005</v>
      </c>
      <c r="X13" s="22">
        <v>6</v>
      </c>
      <c r="Y13" s="215">
        <f t="shared" si="16"/>
        <v>5.3073449995573528E-2</v>
      </c>
      <c r="Z13" s="170">
        <v>359.7</v>
      </c>
      <c r="AA13" s="170">
        <v>226.6</v>
      </c>
      <c r="AB13" s="51"/>
      <c r="AC13" s="51"/>
      <c r="AD13" s="51"/>
      <c r="AE13" s="170">
        <f t="shared" si="17"/>
        <v>0</v>
      </c>
      <c r="AF13" s="61">
        <f t="shared" si="18"/>
        <v>0</v>
      </c>
      <c r="AG13" s="174"/>
      <c r="AH13" s="61">
        <v>0</v>
      </c>
      <c r="AI13" s="174"/>
      <c r="AJ13" s="53"/>
      <c r="AK13" s="174">
        <f t="shared" si="3"/>
        <v>6777.4</v>
      </c>
      <c r="AL13" s="48"/>
      <c r="AM13" s="48">
        <v>3</v>
      </c>
      <c r="AN13" s="48">
        <v>3</v>
      </c>
      <c r="AO13" s="48">
        <v>3</v>
      </c>
      <c r="AP13" s="48"/>
      <c r="AQ13" s="48">
        <v>3</v>
      </c>
      <c r="AR13" s="48">
        <v>5400</v>
      </c>
      <c r="AS13" s="48"/>
      <c r="AT13" s="48">
        <v>1204</v>
      </c>
      <c r="AU13" s="48">
        <v>270</v>
      </c>
      <c r="AV13" s="48">
        <v>429</v>
      </c>
      <c r="AW13" s="48">
        <f t="shared" si="22"/>
        <v>10869</v>
      </c>
      <c r="AX13" s="48">
        <v>10869</v>
      </c>
      <c r="AY13" s="48"/>
      <c r="AZ13" s="48">
        <v>2970</v>
      </c>
      <c r="BA13" s="48">
        <v>254</v>
      </c>
      <c r="BB13" s="48">
        <v>1078</v>
      </c>
      <c r="BC13" s="48">
        <v>1078</v>
      </c>
      <c r="BD13" s="48">
        <v>51</v>
      </c>
      <c r="BE13" s="48">
        <v>6</v>
      </c>
      <c r="BF13" s="48">
        <v>390</v>
      </c>
      <c r="BG13" s="48">
        <v>1020</v>
      </c>
      <c r="BH13" s="48"/>
      <c r="BI13" s="48">
        <v>11400</v>
      </c>
      <c r="BJ13" s="48">
        <v>4905</v>
      </c>
      <c r="BK13" s="48">
        <v>135</v>
      </c>
      <c r="BL13" s="48"/>
      <c r="BM13" s="48"/>
      <c r="BN13" s="48"/>
      <c r="BO13" s="48">
        <f>G13</f>
        <v>1</v>
      </c>
      <c r="BP13" s="48">
        <f>R13</f>
        <v>6777.4</v>
      </c>
      <c r="BQ13" s="48">
        <f>S13</f>
        <v>4254.1000000000004</v>
      </c>
      <c r="BR13" s="48"/>
      <c r="BS13" s="48"/>
      <c r="BT13" s="48"/>
      <c r="BU13" s="48"/>
      <c r="BV13" s="48">
        <v>2</v>
      </c>
      <c r="BW13" s="48"/>
      <c r="BX13" s="48"/>
      <c r="BY13" s="48"/>
      <c r="BZ13" s="48"/>
      <c r="CA13" s="172">
        <v>1211.4999999999998</v>
      </c>
      <c r="CB13" s="172">
        <v>1183.8</v>
      </c>
      <c r="CC13" s="14">
        <v>2351</v>
      </c>
      <c r="CD13" s="14">
        <f t="shared" si="5"/>
        <v>1273</v>
      </c>
      <c r="CE13" s="54">
        <f t="shared" si="6"/>
        <v>1</v>
      </c>
      <c r="CF13" s="55">
        <f t="shared" si="7"/>
        <v>10869</v>
      </c>
      <c r="CG13" s="54" t="str">
        <f t="shared" si="8"/>
        <v>0</v>
      </c>
      <c r="CH13" s="55">
        <f t="shared" si="9"/>
        <v>0</v>
      </c>
      <c r="CI13" s="55">
        <f t="shared" si="19"/>
        <v>1</v>
      </c>
      <c r="CJ13" s="55">
        <f t="shared" si="19"/>
        <v>10869</v>
      </c>
      <c r="CK13" s="41">
        <v>27</v>
      </c>
      <c r="CL13" s="57" t="str">
        <f t="shared" si="10"/>
        <v>0</v>
      </c>
      <c r="CM13" s="57" t="str">
        <f t="shared" si="11"/>
        <v>0</v>
      </c>
      <c r="CN13" s="167">
        <f t="shared" si="12"/>
        <v>5.3073449995573529</v>
      </c>
      <c r="CO13" s="178" t="str">
        <f t="shared" si="13"/>
        <v>0</v>
      </c>
      <c r="CP13" s="178" t="str">
        <f t="shared" si="20"/>
        <v>0</v>
      </c>
      <c r="CQ13" s="167">
        <f t="shared" si="21"/>
        <v>5.3073449995573529</v>
      </c>
      <c r="CR13" s="185">
        <v>1</v>
      </c>
      <c r="CS13" s="185">
        <v>0</v>
      </c>
      <c r="CT13" s="185">
        <v>0</v>
      </c>
      <c r="CU13" s="185">
        <v>0</v>
      </c>
      <c r="CV13" s="185">
        <v>2</v>
      </c>
      <c r="CW13" s="185">
        <v>0</v>
      </c>
      <c r="CX13" s="185">
        <v>0</v>
      </c>
      <c r="CY13" s="185">
        <v>0</v>
      </c>
      <c r="CZ13" s="185">
        <v>0</v>
      </c>
      <c r="DA13" s="186">
        <v>105</v>
      </c>
      <c r="DB13" s="187">
        <v>104</v>
      </c>
      <c r="DC13" s="188">
        <v>1</v>
      </c>
      <c r="DD13" s="185">
        <v>100</v>
      </c>
      <c r="DE13" s="185">
        <v>85</v>
      </c>
      <c r="DF13" s="189">
        <v>172</v>
      </c>
      <c r="DG13" s="185">
        <v>90</v>
      </c>
      <c r="DH13" s="185">
        <v>85</v>
      </c>
      <c r="DI13" s="189">
        <v>172</v>
      </c>
      <c r="DJ13" s="185">
        <v>90</v>
      </c>
      <c r="DK13" s="185">
        <v>1</v>
      </c>
      <c r="DL13" s="185">
        <v>1</v>
      </c>
      <c r="DM13" s="188">
        <v>5</v>
      </c>
      <c r="DN13" s="185">
        <v>1</v>
      </c>
      <c r="DO13" s="185">
        <v>1</v>
      </c>
      <c r="DP13" s="188">
        <v>5</v>
      </c>
      <c r="DQ13" s="185">
        <v>1</v>
      </c>
      <c r="DR13" s="184">
        <f t="shared" si="14"/>
        <v>105</v>
      </c>
      <c r="DS13" s="185">
        <v>105</v>
      </c>
    </row>
    <row r="14" spans="1:124">
      <c r="A14" s="43" t="s">
        <v>95</v>
      </c>
      <c r="B14" s="44">
        <v>8</v>
      </c>
      <c r="C14" s="13" t="s">
        <v>70</v>
      </c>
      <c r="D14" s="45">
        <v>1951</v>
      </c>
      <c r="E14" s="46"/>
      <c r="F14" s="46" t="s">
        <v>29</v>
      </c>
      <c r="G14" s="47">
        <v>1</v>
      </c>
      <c r="H14" s="46">
        <v>5</v>
      </c>
      <c r="I14" s="46" t="s">
        <v>100</v>
      </c>
      <c r="J14" s="48">
        <v>42441</v>
      </c>
      <c r="K14" s="48">
        <v>2481</v>
      </c>
      <c r="L14" s="48">
        <v>2647</v>
      </c>
      <c r="M14" s="48">
        <v>0</v>
      </c>
      <c r="N14" s="48">
        <f>85+2</f>
        <v>87</v>
      </c>
      <c r="O14" s="48">
        <f>221+2+2</f>
        <v>225</v>
      </c>
      <c r="P14" s="48">
        <v>93</v>
      </c>
      <c r="Q14" s="60">
        <v>170</v>
      </c>
      <c r="R14" s="61">
        <f>6161.91+66.29+64.29</f>
        <v>6292.49</v>
      </c>
      <c r="S14" s="52">
        <v>3867.9399999999996</v>
      </c>
      <c r="T14" s="20">
        <f t="shared" si="0"/>
        <v>78</v>
      </c>
      <c r="U14" s="215">
        <f t="shared" si="15"/>
        <v>0.89020562607171405</v>
      </c>
      <c r="V14" s="50">
        <f t="shared" si="1"/>
        <v>5601.61</v>
      </c>
      <c r="W14" s="50">
        <f t="shared" si="2"/>
        <v>3438.4199999999992</v>
      </c>
      <c r="X14" s="22">
        <v>9</v>
      </c>
      <c r="Y14" s="215">
        <f t="shared" si="16"/>
        <v>0.10979437392828595</v>
      </c>
      <c r="Z14" s="170">
        <v>690.88</v>
      </c>
      <c r="AA14" s="170">
        <v>429.52000000000044</v>
      </c>
      <c r="AB14" s="51"/>
      <c r="AC14" s="51"/>
      <c r="AD14" s="51"/>
      <c r="AE14" s="170">
        <f t="shared" si="17"/>
        <v>1118.6100000000001</v>
      </c>
      <c r="AF14" s="61">
        <f t="shared" si="18"/>
        <v>837.21</v>
      </c>
      <c r="AG14" s="174"/>
      <c r="AH14" s="61">
        <f>967.79-66.29-64.29</f>
        <v>837.21</v>
      </c>
      <c r="AI14" s="174">
        <v>281.39999999999998</v>
      </c>
      <c r="AJ14" s="53"/>
      <c r="AK14" s="174">
        <f t="shared" si="3"/>
        <v>7411.1</v>
      </c>
      <c r="AL14" s="48"/>
      <c r="AM14" s="48"/>
      <c r="AN14" s="48">
        <v>5</v>
      </c>
      <c r="AO14" s="48"/>
      <c r="AP14" s="48"/>
      <c r="AQ14" s="48">
        <v>1</v>
      </c>
      <c r="AR14" s="48">
        <v>4364</v>
      </c>
      <c r="AS14" s="48">
        <v>1376</v>
      </c>
      <c r="AT14" s="48">
        <v>395</v>
      </c>
      <c r="AU14" s="48">
        <v>304</v>
      </c>
      <c r="AV14" s="48">
        <v>150</v>
      </c>
      <c r="AW14" s="48">
        <f t="shared" si="22"/>
        <v>4965</v>
      </c>
      <c r="AX14" s="48"/>
      <c r="AY14" s="48">
        <v>4965</v>
      </c>
      <c r="AZ14" s="48"/>
      <c r="BA14" s="48">
        <v>137</v>
      </c>
      <c r="BB14" s="48">
        <v>1979</v>
      </c>
      <c r="BC14" s="48">
        <v>1979</v>
      </c>
      <c r="BD14" s="48">
        <v>25</v>
      </c>
      <c r="BE14" s="48">
        <v>10</v>
      </c>
      <c r="BF14" s="48">
        <v>229</v>
      </c>
      <c r="BG14" s="48">
        <v>757</v>
      </c>
      <c r="BH14" s="48"/>
      <c r="BI14" s="48">
        <v>6138</v>
      </c>
      <c r="BJ14" s="48">
        <v>190</v>
      </c>
      <c r="BK14" s="48"/>
      <c r="BL14" s="48">
        <f>G14</f>
        <v>1</v>
      </c>
      <c r="BM14" s="48">
        <f>R14</f>
        <v>6292.49</v>
      </c>
      <c r="BN14" s="48">
        <f>S14</f>
        <v>3867.9399999999996</v>
      </c>
      <c r="BO14" s="48"/>
      <c r="BP14" s="48"/>
      <c r="BQ14" s="48"/>
      <c r="BR14" s="48"/>
      <c r="BS14" s="48"/>
      <c r="BT14" s="48"/>
      <c r="BU14" s="48"/>
      <c r="BV14" s="48">
        <v>3</v>
      </c>
      <c r="BW14" s="48">
        <f>BC14</f>
        <v>1979</v>
      </c>
      <c r="BX14" s="48">
        <v>5180</v>
      </c>
      <c r="BY14" s="48"/>
      <c r="BZ14" s="48">
        <f>AR14</f>
        <v>4364</v>
      </c>
      <c r="CA14" s="172">
        <v>736.72</v>
      </c>
      <c r="CB14" s="172">
        <v>736.72</v>
      </c>
      <c r="CC14" s="14">
        <v>5378</v>
      </c>
      <c r="CD14" s="14">
        <f t="shared" si="5"/>
        <v>2897</v>
      </c>
      <c r="CE14" s="54" t="str">
        <f t="shared" si="6"/>
        <v>0</v>
      </c>
      <c r="CF14" s="55">
        <f t="shared" si="7"/>
        <v>0</v>
      </c>
      <c r="CG14" s="54">
        <f t="shared" si="8"/>
        <v>1</v>
      </c>
      <c r="CH14" s="55">
        <f t="shared" si="9"/>
        <v>4965</v>
      </c>
      <c r="CI14" s="55">
        <f t="shared" si="19"/>
        <v>1</v>
      </c>
      <c r="CJ14" s="55">
        <f t="shared" si="19"/>
        <v>4965</v>
      </c>
      <c r="CK14" s="41">
        <v>41</v>
      </c>
      <c r="CL14" s="57" t="str">
        <f t="shared" si="10"/>
        <v>0</v>
      </c>
      <c r="CM14" s="57" t="str">
        <f t="shared" si="11"/>
        <v>0</v>
      </c>
      <c r="CN14" s="167">
        <f t="shared" si="12"/>
        <v>10.979437392828595</v>
      </c>
      <c r="CO14" s="178" t="str">
        <f t="shared" si="13"/>
        <v>0</v>
      </c>
      <c r="CP14" s="178" t="str">
        <f t="shared" si="20"/>
        <v>0</v>
      </c>
      <c r="CQ14" s="167">
        <f t="shared" si="21"/>
        <v>20.618936460174602</v>
      </c>
      <c r="CR14" s="185">
        <v>1</v>
      </c>
      <c r="CS14" s="185">
        <v>0</v>
      </c>
      <c r="CT14" s="185">
        <v>0</v>
      </c>
      <c r="CU14" s="185">
        <v>0</v>
      </c>
      <c r="CV14" s="185">
        <v>2</v>
      </c>
      <c r="CW14" s="185">
        <v>0</v>
      </c>
      <c r="CX14" s="185">
        <v>0</v>
      </c>
      <c r="CY14" s="185">
        <v>0</v>
      </c>
      <c r="CZ14" s="185">
        <v>0</v>
      </c>
      <c r="DA14" s="186">
        <v>87</v>
      </c>
      <c r="DB14" s="187">
        <v>81</v>
      </c>
      <c r="DC14" s="188">
        <v>6</v>
      </c>
      <c r="DD14" s="185">
        <v>72</v>
      </c>
      <c r="DE14" s="185">
        <v>20</v>
      </c>
      <c r="DF14" s="189">
        <v>135</v>
      </c>
      <c r="DG14" s="185">
        <v>33</v>
      </c>
      <c r="DH14" s="185">
        <v>20</v>
      </c>
      <c r="DI14" s="189">
        <v>135</v>
      </c>
      <c r="DJ14" s="185">
        <v>38</v>
      </c>
      <c r="DK14" s="185">
        <v>4</v>
      </c>
      <c r="DL14" s="185">
        <v>0</v>
      </c>
      <c r="DM14" s="188">
        <v>4</v>
      </c>
      <c r="DN14" s="185">
        <v>0</v>
      </c>
      <c r="DO14" s="185">
        <v>0</v>
      </c>
      <c r="DP14" s="188">
        <v>4</v>
      </c>
      <c r="DQ14" s="185">
        <v>0</v>
      </c>
      <c r="DR14" s="184">
        <f t="shared" si="14"/>
        <v>87</v>
      </c>
      <c r="DS14" s="185">
        <v>7</v>
      </c>
    </row>
    <row r="15" spans="1:124">
      <c r="A15" s="43" t="s">
        <v>96</v>
      </c>
      <c r="B15" s="44">
        <v>9</v>
      </c>
      <c r="C15" s="13" t="s">
        <v>71</v>
      </c>
      <c r="D15" s="45">
        <v>1987</v>
      </c>
      <c r="E15" s="46"/>
      <c r="F15" s="46" t="s">
        <v>28</v>
      </c>
      <c r="G15" s="47">
        <v>1</v>
      </c>
      <c r="H15" s="46">
        <v>9</v>
      </c>
      <c r="I15" s="46" t="s">
        <v>99</v>
      </c>
      <c r="J15" s="48">
        <v>30048</v>
      </c>
      <c r="K15" s="48">
        <v>1182</v>
      </c>
      <c r="L15" s="48"/>
      <c r="M15" s="48">
        <v>1124</v>
      </c>
      <c r="N15" s="48">
        <v>105</v>
      </c>
      <c r="O15" s="48">
        <v>285</v>
      </c>
      <c r="P15" s="48">
        <v>105</v>
      </c>
      <c r="Q15" s="60">
        <v>286</v>
      </c>
      <c r="R15" s="61">
        <v>6820.46</v>
      </c>
      <c r="S15" s="52">
        <v>4214.3</v>
      </c>
      <c r="T15" s="20">
        <f t="shared" si="0"/>
        <v>99</v>
      </c>
      <c r="U15" s="215">
        <f t="shared" si="15"/>
        <v>0.9393149435668563</v>
      </c>
      <c r="V15" s="50">
        <f t="shared" si="1"/>
        <v>6406.56</v>
      </c>
      <c r="W15" s="50">
        <f t="shared" si="2"/>
        <v>3956</v>
      </c>
      <c r="X15" s="22">
        <v>6</v>
      </c>
      <c r="Y15" s="215">
        <f t="shared" si="16"/>
        <v>6.06850564331438E-2</v>
      </c>
      <c r="Z15" s="170">
        <v>413.9</v>
      </c>
      <c r="AA15" s="170">
        <v>258.30000000000018</v>
      </c>
      <c r="AB15" s="51"/>
      <c r="AC15" s="51"/>
      <c r="AD15" s="51"/>
      <c r="AE15" s="170">
        <f t="shared" si="17"/>
        <v>0</v>
      </c>
      <c r="AF15" s="61">
        <f t="shared" si="18"/>
        <v>0</v>
      </c>
      <c r="AG15" s="174"/>
      <c r="AH15" s="61">
        <v>0</v>
      </c>
      <c r="AI15" s="174"/>
      <c r="AJ15" s="53"/>
      <c r="AK15" s="174">
        <f t="shared" si="3"/>
        <v>6820.46</v>
      </c>
      <c r="AL15" s="48"/>
      <c r="AM15" s="48">
        <v>3</v>
      </c>
      <c r="AN15" s="48">
        <v>3</v>
      </c>
      <c r="AO15" s="48">
        <v>3</v>
      </c>
      <c r="AP15" s="48"/>
      <c r="AQ15" s="48">
        <v>3</v>
      </c>
      <c r="AR15" s="48">
        <v>5400</v>
      </c>
      <c r="AS15" s="48"/>
      <c r="AT15" s="48">
        <v>390</v>
      </c>
      <c r="AU15" s="48">
        <v>360</v>
      </c>
      <c r="AV15" s="48">
        <v>429</v>
      </c>
      <c r="AW15" s="48">
        <f t="shared" si="22"/>
        <v>6369</v>
      </c>
      <c r="AX15" s="48"/>
      <c r="AY15" s="48">
        <v>6369</v>
      </c>
      <c r="AZ15" s="48">
        <v>2970</v>
      </c>
      <c r="BA15" s="48">
        <v>185</v>
      </c>
      <c r="BB15" s="48">
        <v>1083</v>
      </c>
      <c r="BC15" s="48">
        <v>1083</v>
      </c>
      <c r="BD15" s="48">
        <v>51</v>
      </c>
      <c r="BE15" s="48">
        <v>6</v>
      </c>
      <c r="BF15" s="48">
        <v>390</v>
      </c>
      <c r="BG15" s="48">
        <v>1020</v>
      </c>
      <c r="BH15" s="48"/>
      <c r="BI15" s="48">
        <v>11400</v>
      </c>
      <c r="BJ15" s="48">
        <v>4905</v>
      </c>
      <c r="BK15" s="48">
        <v>135</v>
      </c>
      <c r="BL15" s="48"/>
      <c r="BM15" s="48"/>
      <c r="BN15" s="48"/>
      <c r="BO15" s="48">
        <f>G15</f>
        <v>1</v>
      </c>
      <c r="BP15" s="48">
        <f>R15</f>
        <v>6820.46</v>
      </c>
      <c r="BQ15" s="48">
        <f>S15</f>
        <v>4214.3</v>
      </c>
      <c r="BR15" s="48"/>
      <c r="BS15" s="48"/>
      <c r="BT15" s="48"/>
      <c r="BU15" s="48"/>
      <c r="BV15" s="48">
        <v>2</v>
      </c>
      <c r="BW15" s="48"/>
      <c r="BX15" s="48"/>
      <c r="BY15" s="48"/>
      <c r="BZ15" s="48"/>
      <c r="CA15" s="172">
        <v>1262.5000000000002</v>
      </c>
      <c r="CB15" s="172">
        <v>1187.1400000000001</v>
      </c>
      <c r="CC15" s="14">
        <v>2521</v>
      </c>
      <c r="CD15" s="14">
        <f t="shared" si="5"/>
        <v>1339</v>
      </c>
      <c r="CE15" s="54" t="str">
        <f t="shared" si="6"/>
        <v>0</v>
      </c>
      <c r="CF15" s="55">
        <f t="shared" si="7"/>
        <v>0</v>
      </c>
      <c r="CG15" s="54">
        <f t="shared" si="8"/>
        <v>1</v>
      </c>
      <c r="CH15" s="55">
        <f t="shared" si="9"/>
        <v>6369</v>
      </c>
      <c r="CI15" s="55">
        <f t="shared" si="19"/>
        <v>1</v>
      </c>
      <c r="CJ15" s="55">
        <f t="shared" si="19"/>
        <v>6369</v>
      </c>
      <c r="CK15" s="41">
        <v>33</v>
      </c>
      <c r="CL15" s="57" t="str">
        <f t="shared" si="10"/>
        <v>0</v>
      </c>
      <c r="CM15" s="57" t="str">
        <f t="shared" si="11"/>
        <v>0</v>
      </c>
      <c r="CN15" s="167">
        <f t="shared" si="12"/>
        <v>6.0685056433143796</v>
      </c>
      <c r="CO15" s="178" t="str">
        <f t="shared" si="13"/>
        <v>0</v>
      </c>
      <c r="CP15" s="178" t="str">
        <f t="shared" si="20"/>
        <v>0</v>
      </c>
      <c r="CQ15" s="167">
        <f t="shared" si="21"/>
        <v>6.0685056433143796</v>
      </c>
      <c r="CR15" s="185">
        <v>1</v>
      </c>
      <c r="CS15" s="185">
        <v>0</v>
      </c>
      <c r="CT15" s="185">
        <v>0</v>
      </c>
      <c r="CU15" s="185">
        <v>0</v>
      </c>
      <c r="CV15" s="185">
        <v>2</v>
      </c>
      <c r="CW15" s="185">
        <v>0</v>
      </c>
      <c r="CX15" s="185">
        <v>0</v>
      </c>
      <c r="CY15" s="185">
        <v>0</v>
      </c>
      <c r="CZ15" s="185">
        <v>0</v>
      </c>
      <c r="DA15" s="186">
        <v>105</v>
      </c>
      <c r="DB15" s="187">
        <v>100</v>
      </c>
      <c r="DC15" s="188">
        <v>5</v>
      </c>
      <c r="DD15" s="185">
        <v>99</v>
      </c>
      <c r="DE15" s="185">
        <v>63</v>
      </c>
      <c r="DF15" s="189">
        <v>171</v>
      </c>
      <c r="DG15" s="185">
        <v>84</v>
      </c>
      <c r="DH15" s="185">
        <v>63</v>
      </c>
      <c r="DI15" s="189">
        <v>171</v>
      </c>
      <c r="DJ15" s="185">
        <v>84</v>
      </c>
      <c r="DK15" s="185">
        <v>5</v>
      </c>
      <c r="DL15" s="185">
        <v>1</v>
      </c>
      <c r="DM15" s="188">
        <v>5</v>
      </c>
      <c r="DN15" s="185">
        <v>1</v>
      </c>
      <c r="DO15" s="185">
        <v>1</v>
      </c>
      <c r="DP15" s="188">
        <v>5</v>
      </c>
      <c r="DQ15" s="185">
        <v>1</v>
      </c>
      <c r="DR15" s="184">
        <f t="shared" si="14"/>
        <v>105</v>
      </c>
      <c r="DS15" s="185">
        <v>105</v>
      </c>
    </row>
    <row r="16" spans="1:124" s="58" customFormat="1">
      <c r="A16" s="43" t="s">
        <v>96</v>
      </c>
      <c r="B16" s="44">
        <v>10</v>
      </c>
      <c r="C16" s="13" t="s">
        <v>72</v>
      </c>
      <c r="D16" s="45">
        <v>1951</v>
      </c>
      <c r="E16" s="46"/>
      <c r="F16" s="46" t="s">
        <v>29</v>
      </c>
      <c r="G16" s="47">
        <v>1</v>
      </c>
      <c r="H16" s="46">
        <v>5</v>
      </c>
      <c r="I16" s="46" t="s">
        <v>100</v>
      </c>
      <c r="J16" s="48">
        <v>36797</v>
      </c>
      <c r="K16" s="48">
        <v>1979</v>
      </c>
      <c r="L16" s="48">
        <v>2869</v>
      </c>
      <c r="M16" s="48"/>
      <c r="N16" s="48">
        <v>80</v>
      </c>
      <c r="O16" s="48">
        <v>176</v>
      </c>
      <c r="P16" s="48">
        <v>87</v>
      </c>
      <c r="Q16" s="60">
        <v>162</v>
      </c>
      <c r="R16" s="61">
        <v>5274.6</v>
      </c>
      <c r="S16" s="52">
        <v>2903.7</v>
      </c>
      <c r="T16" s="20">
        <f t="shared" si="0"/>
        <v>75</v>
      </c>
      <c r="U16" s="215">
        <f t="shared" si="15"/>
        <v>0.93976794448868162</v>
      </c>
      <c r="V16" s="50">
        <f t="shared" si="1"/>
        <v>4956.9000000000005</v>
      </c>
      <c r="W16" s="50">
        <f t="shared" si="2"/>
        <v>2734.3999999999996</v>
      </c>
      <c r="X16" s="22">
        <v>5</v>
      </c>
      <c r="Y16" s="215">
        <f t="shared" si="16"/>
        <v>6.023205551131839E-2</v>
      </c>
      <c r="Z16" s="170">
        <v>317.7</v>
      </c>
      <c r="AA16" s="170">
        <v>169.3</v>
      </c>
      <c r="AB16" s="51"/>
      <c r="AC16" s="51"/>
      <c r="AD16" s="51"/>
      <c r="AE16" s="170">
        <f t="shared" si="17"/>
        <v>3793.18</v>
      </c>
      <c r="AF16" s="61">
        <f t="shared" si="18"/>
        <v>1069.1799999999998</v>
      </c>
      <c r="AG16" s="174"/>
      <c r="AH16" s="61">
        <f>3547.48-2478.3</f>
        <v>1069.1799999999998</v>
      </c>
      <c r="AI16" s="174">
        <f>245.7+2478.3</f>
        <v>2724</v>
      </c>
      <c r="AJ16" s="53"/>
      <c r="AK16" s="174">
        <f t="shared" si="3"/>
        <v>9067.7800000000007</v>
      </c>
      <c r="AL16" s="48"/>
      <c r="AM16" s="48"/>
      <c r="AN16" s="48">
        <v>5</v>
      </c>
      <c r="AO16" s="48"/>
      <c r="AP16" s="48"/>
      <c r="AQ16" s="48">
        <v>1</v>
      </c>
      <c r="AR16" s="48">
        <v>5950</v>
      </c>
      <c r="AS16" s="48">
        <v>1376</v>
      </c>
      <c r="AT16" s="48">
        <v>290</v>
      </c>
      <c r="AU16" s="48">
        <v>517</v>
      </c>
      <c r="AV16" s="48">
        <v>150</v>
      </c>
      <c r="AW16" s="48">
        <f t="shared" si="22"/>
        <v>4965</v>
      </c>
      <c r="AX16" s="48"/>
      <c r="AY16" s="48">
        <v>4965</v>
      </c>
      <c r="AZ16" s="48"/>
      <c r="BA16" s="48">
        <v>488</v>
      </c>
      <c r="BB16" s="48">
        <v>2400</v>
      </c>
      <c r="BC16" s="48">
        <v>2400</v>
      </c>
      <c r="BD16" s="48">
        <v>25</v>
      </c>
      <c r="BE16" s="48">
        <v>10</v>
      </c>
      <c r="BF16" s="48">
        <v>256</v>
      </c>
      <c r="BG16" s="48">
        <v>736</v>
      </c>
      <c r="BH16" s="48"/>
      <c r="BI16" s="48">
        <v>11102</v>
      </c>
      <c r="BJ16" s="48">
        <v>190</v>
      </c>
      <c r="BK16" s="48"/>
      <c r="BL16" s="48">
        <f>G16</f>
        <v>1</v>
      </c>
      <c r="BM16" s="48">
        <f>R16</f>
        <v>5274.6</v>
      </c>
      <c r="BN16" s="48">
        <f>S16</f>
        <v>2903.7</v>
      </c>
      <c r="BO16" s="48"/>
      <c r="BP16" s="48"/>
      <c r="BQ16" s="48"/>
      <c r="BR16" s="48"/>
      <c r="BS16" s="48"/>
      <c r="BT16" s="48"/>
      <c r="BU16" s="48"/>
      <c r="BV16" s="48">
        <v>5</v>
      </c>
      <c r="BW16" s="48">
        <f>BC16</f>
        <v>2400</v>
      </c>
      <c r="BX16" s="48">
        <v>5895</v>
      </c>
      <c r="BY16" s="48"/>
      <c r="BZ16" s="48">
        <f>AR16</f>
        <v>5950</v>
      </c>
      <c r="CA16" s="172">
        <v>654.80000000000007</v>
      </c>
      <c r="CB16" s="172">
        <v>654.79999999999995</v>
      </c>
      <c r="CC16" s="14">
        <v>4552</v>
      </c>
      <c r="CD16" s="14">
        <f t="shared" si="5"/>
        <v>2573</v>
      </c>
      <c r="CE16" s="54" t="str">
        <f t="shared" si="6"/>
        <v>0</v>
      </c>
      <c r="CF16" s="55">
        <f t="shared" si="7"/>
        <v>0</v>
      </c>
      <c r="CG16" s="54">
        <f t="shared" si="8"/>
        <v>1</v>
      </c>
      <c r="CH16" s="55">
        <f t="shared" si="9"/>
        <v>4965</v>
      </c>
      <c r="CI16" s="55">
        <f t="shared" si="19"/>
        <v>1</v>
      </c>
      <c r="CJ16" s="55">
        <f t="shared" si="19"/>
        <v>4965</v>
      </c>
      <c r="CK16" s="56">
        <v>42</v>
      </c>
      <c r="CL16" s="57" t="str">
        <f t="shared" si="10"/>
        <v>0</v>
      </c>
      <c r="CM16" s="57" t="str">
        <f t="shared" si="11"/>
        <v>0</v>
      </c>
      <c r="CN16" s="167">
        <f t="shared" si="12"/>
        <v>6.0232055511318388</v>
      </c>
      <c r="CO16" s="178" t="str">
        <f t="shared" si="13"/>
        <v>0</v>
      </c>
      <c r="CP16" s="178" t="str">
        <f t="shared" si="20"/>
        <v>0</v>
      </c>
      <c r="CQ16" s="167">
        <f t="shared" si="21"/>
        <v>15.294592502244209</v>
      </c>
      <c r="CR16" s="185">
        <v>1</v>
      </c>
      <c r="CS16" s="185">
        <v>0</v>
      </c>
      <c r="CT16" s="185">
        <v>0</v>
      </c>
      <c r="CU16" s="185">
        <v>0</v>
      </c>
      <c r="CV16" s="185">
        <v>2</v>
      </c>
      <c r="CW16" s="185">
        <v>0</v>
      </c>
      <c r="CX16" s="185">
        <v>0</v>
      </c>
      <c r="CY16" s="185">
        <v>0</v>
      </c>
      <c r="CZ16" s="185">
        <v>0</v>
      </c>
      <c r="DA16" s="186">
        <v>80</v>
      </c>
      <c r="DB16" s="187">
        <v>78</v>
      </c>
      <c r="DC16" s="188">
        <v>2</v>
      </c>
      <c r="DD16" s="185">
        <v>71</v>
      </c>
      <c r="DE16" s="185">
        <v>35</v>
      </c>
      <c r="DF16" s="189">
        <v>105</v>
      </c>
      <c r="DG16" s="185">
        <v>48</v>
      </c>
      <c r="DH16" s="185">
        <v>35</v>
      </c>
      <c r="DI16" s="189">
        <v>105</v>
      </c>
      <c r="DJ16" s="185">
        <v>48</v>
      </c>
      <c r="DK16" s="185">
        <v>1</v>
      </c>
      <c r="DL16" s="185">
        <v>0</v>
      </c>
      <c r="DM16" s="188">
        <v>0</v>
      </c>
      <c r="DN16" s="185">
        <v>0</v>
      </c>
      <c r="DO16" s="185">
        <v>0</v>
      </c>
      <c r="DP16" s="188">
        <v>0</v>
      </c>
      <c r="DQ16" s="185">
        <v>0</v>
      </c>
      <c r="DR16" s="184">
        <f t="shared" si="14"/>
        <v>80</v>
      </c>
      <c r="DS16" s="185">
        <v>42</v>
      </c>
    </row>
    <row r="17" spans="1:123" s="58" customFormat="1">
      <c r="A17" s="43" t="s">
        <v>96</v>
      </c>
      <c r="B17" s="44">
        <v>11</v>
      </c>
      <c r="C17" s="13" t="s">
        <v>73</v>
      </c>
      <c r="D17" s="45">
        <v>1987</v>
      </c>
      <c r="E17" s="46"/>
      <c r="F17" s="46" t="s">
        <v>28</v>
      </c>
      <c r="G17" s="47">
        <v>1</v>
      </c>
      <c r="H17" s="46">
        <v>9</v>
      </c>
      <c r="I17" s="46" t="s">
        <v>99</v>
      </c>
      <c r="J17" s="48">
        <v>29303</v>
      </c>
      <c r="K17" s="48">
        <v>1200</v>
      </c>
      <c r="L17" s="48"/>
      <c r="M17" s="48">
        <v>1122</v>
      </c>
      <c r="N17" s="48">
        <v>105</v>
      </c>
      <c r="O17" s="48">
        <v>285</v>
      </c>
      <c r="P17" s="48">
        <v>105</v>
      </c>
      <c r="Q17" s="60">
        <v>238</v>
      </c>
      <c r="R17" s="61">
        <v>6814</v>
      </c>
      <c r="S17" s="52">
        <v>4203.1000000000004</v>
      </c>
      <c r="T17" s="20">
        <f t="shared" si="0"/>
        <v>101</v>
      </c>
      <c r="U17" s="215">
        <f t="shared" si="15"/>
        <v>0.95876137364250069</v>
      </c>
      <c r="V17" s="50">
        <f t="shared" si="1"/>
        <v>6533</v>
      </c>
      <c r="W17" s="50">
        <f t="shared" si="2"/>
        <v>4032.8</v>
      </c>
      <c r="X17" s="22">
        <v>4</v>
      </c>
      <c r="Y17" s="215">
        <f t="shared" si="16"/>
        <v>4.1238626357499267E-2</v>
      </c>
      <c r="Z17" s="170">
        <v>281</v>
      </c>
      <c r="AA17" s="170">
        <v>170.3</v>
      </c>
      <c r="AB17" s="51"/>
      <c r="AC17" s="51"/>
      <c r="AD17" s="51"/>
      <c r="AE17" s="170">
        <f t="shared" si="17"/>
        <v>0</v>
      </c>
      <c r="AF17" s="61">
        <f t="shared" si="18"/>
        <v>0</v>
      </c>
      <c r="AG17" s="174"/>
      <c r="AH17" s="61">
        <v>0</v>
      </c>
      <c r="AI17" s="174"/>
      <c r="AJ17" s="53"/>
      <c r="AK17" s="174">
        <f t="shared" si="3"/>
        <v>6814</v>
      </c>
      <c r="AL17" s="48"/>
      <c r="AM17" s="48">
        <v>3</v>
      </c>
      <c r="AN17" s="48">
        <v>3</v>
      </c>
      <c r="AO17" s="48">
        <v>3</v>
      </c>
      <c r="AP17" s="48"/>
      <c r="AQ17" s="48">
        <v>3</v>
      </c>
      <c r="AR17" s="48">
        <v>5400</v>
      </c>
      <c r="AS17" s="48"/>
      <c r="AT17" s="48">
        <v>345</v>
      </c>
      <c r="AU17" s="48">
        <v>396</v>
      </c>
      <c r="AV17" s="48">
        <v>429</v>
      </c>
      <c r="AW17" s="48">
        <f t="shared" si="22"/>
        <v>10869</v>
      </c>
      <c r="AX17" s="48"/>
      <c r="AY17" s="48">
        <v>10869</v>
      </c>
      <c r="AZ17" s="48">
        <v>2970</v>
      </c>
      <c r="BA17" s="48">
        <v>180</v>
      </c>
      <c r="BB17" s="48">
        <v>1081</v>
      </c>
      <c r="BC17" s="48">
        <v>1081</v>
      </c>
      <c r="BD17" s="48">
        <v>51</v>
      </c>
      <c r="BE17" s="48">
        <v>6</v>
      </c>
      <c r="BF17" s="48">
        <v>389</v>
      </c>
      <c r="BG17" s="48">
        <v>1020</v>
      </c>
      <c r="BH17" s="48"/>
      <c r="BI17" s="48">
        <v>11400</v>
      </c>
      <c r="BJ17" s="48">
        <v>4905</v>
      </c>
      <c r="BK17" s="48">
        <v>1345</v>
      </c>
      <c r="BL17" s="48"/>
      <c r="BM17" s="48"/>
      <c r="BN17" s="48"/>
      <c r="BO17" s="48">
        <f>G17</f>
        <v>1</v>
      </c>
      <c r="BP17" s="48">
        <f>R17</f>
        <v>6814</v>
      </c>
      <c r="BQ17" s="48">
        <f>S17</f>
        <v>4203.1000000000004</v>
      </c>
      <c r="BR17" s="48"/>
      <c r="BS17" s="48"/>
      <c r="BT17" s="48"/>
      <c r="BU17" s="48"/>
      <c r="BV17" s="48">
        <v>2</v>
      </c>
      <c r="BW17" s="48"/>
      <c r="BX17" s="48"/>
      <c r="BY17" s="48"/>
      <c r="BZ17" s="48"/>
      <c r="CA17" s="172">
        <v>2159.7000000000003</v>
      </c>
      <c r="CB17" s="172">
        <v>1171.5999999999999</v>
      </c>
      <c r="CC17" s="14">
        <v>2427</v>
      </c>
      <c r="CD17" s="14">
        <f t="shared" si="5"/>
        <v>1227</v>
      </c>
      <c r="CE17" s="54" t="str">
        <f t="shared" si="6"/>
        <v>0</v>
      </c>
      <c r="CF17" s="55">
        <f t="shared" si="7"/>
        <v>0</v>
      </c>
      <c r="CG17" s="54">
        <f t="shared" si="8"/>
        <v>1</v>
      </c>
      <c r="CH17" s="55">
        <f t="shared" si="9"/>
        <v>10869</v>
      </c>
      <c r="CI17" s="55">
        <f t="shared" si="19"/>
        <v>1</v>
      </c>
      <c r="CJ17" s="55">
        <f t="shared" si="19"/>
        <v>10869</v>
      </c>
      <c r="CK17" s="56">
        <v>27</v>
      </c>
      <c r="CL17" s="57" t="str">
        <f t="shared" si="10"/>
        <v>0</v>
      </c>
      <c r="CM17" s="57" t="str">
        <f t="shared" si="11"/>
        <v>0</v>
      </c>
      <c r="CN17" s="167">
        <f t="shared" si="12"/>
        <v>4.1238626357499264</v>
      </c>
      <c r="CO17" s="178" t="str">
        <f t="shared" si="13"/>
        <v>0</v>
      </c>
      <c r="CP17" s="178" t="str">
        <f t="shared" si="20"/>
        <v>0</v>
      </c>
      <c r="CQ17" s="167">
        <f t="shared" si="21"/>
        <v>4.1238626357499264</v>
      </c>
      <c r="CR17" s="185">
        <v>1</v>
      </c>
      <c r="CS17" s="185">
        <v>0</v>
      </c>
      <c r="CT17" s="185">
        <v>0</v>
      </c>
      <c r="CU17" s="185">
        <v>0</v>
      </c>
      <c r="CV17" s="185">
        <v>2</v>
      </c>
      <c r="CW17" s="185">
        <v>0</v>
      </c>
      <c r="CX17" s="185">
        <v>0</v>
      </c>
      <c r="CY17" s="185">
        <v>0</v>
      </c>
      <c r="CZ17" s="185">
        <v>0</v>
      </c>
      <c r="DA17" s="186">
        <v>105</v>
      </c>
      <c r="DB17" s="187">
        <v>102</v>
      </c>
      <c r="DC17" s="188">
        <v>3</v>
      </c>
      <c r="DD17" s="185">
        <v>99</v>
      </c>
      <c r="DE17" s="185">
        <v>61</v>
      </c>
      <c r="DF17" s="189">
        <v>173</v>
      </c>
      <c r="DG17" s="185">
        <v>77</v>
      </c>
      <c r="DH17" s="185">
        <v>61</v>
      </c>
      <c r="DI17" s="189">
        <v>173</v>
      </c>
      <c r="DJ17" s="185">
        <v>79</v>
      </c>
      <c r="DK17" s="185">
        <v>1</v>
      </c>
      <c r="DL17" s="185">
        <v>2</v>
      </c>
      <c r="DM17" s="188">
        <v>4</v>
      </c>
      <c r="DN17" s="185">
        <v>3</v>
      </c>
      <c r="DO17" s="185">
        <v>2</v>
      </c>
      <c r="DP17" s="188">
        <v>4</v>
      </c>
      <c r="DQ17" s="185">
        <v>3</v>
      </c>
      <c r="DR17" s="184">
        <f t="shared" si="14"/>
        <v>105</v>
      </c>
      <c r="DS17" s="185">
        <v>105</v>
      </c>
    </row>
    <row r="18" spans="1:123" s="58" customFormat="1">
      <c r="A18" s="43" t="s">
        <v>96</v>
      </c>
      <c r="B18" s="44">
        <v>12</v>
      </c>
      <c r="C18" s="13" t="s">
        <v>74</v>
      </c>
      <c r="D18" s="45">
        <v>1954</v>
      </c>
      <c r="E18" s="46"/>
      <c r="F18" s="46" t="s">
        <v>29</v>
      </c>
      <c r="G18" s="47">
        <v>1</v>
      </c>
      <c r="H18" s="46">
        <v>5</v>
      </c>
      <c r="I18" s="46" t="s">
        <v>100</v>
      </c>
      <c r="J18" s="48">
        <v>37017</v>
      </c>
      <c r="K18" s="48">
        <v>2314</v>
      </c>
      <c r="L18" s="48">
        <v>2838</v>
      </c>
      <c r="M18" s="48">
        <v>0</v>
      </c>
      <c r="N18" s="48">
        <v>95</v>
      </c>
      <c r="O18" s="48">
        <v>231</v>
      </c>
      <c r="P18" s="48">
        <v>98</v>
      </c>
      <c r="Q18" s="63">
        <v>189</v>
      </c>
      <c r="R18" s="61">
        <v>6262.63</v>
      </c>
      <c r="S18" s="52">
        <v>3781.77</v>
      </c>
      <c r="T18" s="21">
        <f t="shared" si="0"/>
        <v>93</v>
      </c>
      <c r="U18" s="215">
        <f t="shared" si="15"/>
        <v>0.97986788298206984</v>
      </c>
      <c r="V18" s="50">
        <f t="shared" si="1"/>
        <v>6136.55</v>
      </c>
      <c r="W18" s="50">
        <f t="shared" si="2"/>
        <v>3707.6599999999985</v>
      </c>
      <c r="X18" s="22">
        <v>2</v>
      </c>
      <c r="Y18" s="215">
        <f t="shared" si="16"/>
        <v>2.0132117017930166E-2</v>
      </c>
      <c r="Z18" s="170">
        <v>126.08</v>
      </c>
      <c r="AA18" s="170">
        <v>74.110000000001492</v>
      </c>
      <c r="AB18" s="51"/>
      <c r="AC18" s="51"/>
      <c r="AD18" s="51"/>
      <c r="AE18" s="170">
        <f t="shared" si="17"/>
        <v>1913.3</v>
      </c>
      <c r="AF18" s="61">
        <f t="shared" si="18"/>
        <v>1587.3</v>
      </c>
      <c r="AG18" s="174"/>
      <c r="AH18" s="61">
        <v>1587.3</v>
      </c>
      <c r="AI18" s="174">
        <v>326</v>
      </c>
      <c r="AJ18" s="53"/>
      <c r="AK18" s="174">
        <f t="shared" si="3"/>
        <v>8175.93</v>
      </c>
      <c r="AL18" s="48"/>
      <c r="AM18" s="48"/>
      <c r="AN18" s="48">
        <v>5</v>
      </c>
      <c r="AO18" s="48"/>
      <c r="AP18" s="48"/>
      <c r="AQ18" s="48">
        <v>2</v>
      </c>
      <c r="AR18" s="48">
        <v>5640</v>
      </c>
      <c r="AS18" s="48">
        <v>1500</v>
      </c>
      <c r="AT18" s="48">
        <v>505</v>
      </c>
      <c r="AU18" s="48">
        <v>490</v>
      </c>
      <c r="AV18" s="48">
        <v>150</v>
      </c>
      <c r="AW18" s="48">
        <f t="shared" si="22"/>
        <v>4965</v>
      </c>
      <c r="AX18" s="48"/>
      <c r="AY18" s="48">
        <v>4965</v>
      </c>
      <c r="AZ18" s="48"/>
      <c r="BA18" s="48">
        <v>144</v>
      </c>
      <c r="BB18" s="48">
        <v>2300</v>
      </c>
      <c r="BC18" s="48">
        <v>2300</v>
      </c>
      <c r="BD18" s="48">
        <v>25</v>
      </c>
      <c r="BE18" s="48">
        <v>12</v>
      </c>
      <c r="BF18" s="48">
        <v>420</v>
      </c>
      <c r="BG18" s="48">
        <v>1040</v>
      </c>
      <c r="BH18" s="48"/>
      <c r="BI18" s="48">
        <v>7110</v>
      </c>
      <c r="BJ18" s="48">
        <v>190</v>
      </c>
      <c r="BK18" s="48"/>
      <c r="BL18" s="48">
        <f>G18</f>
        <v>1</v>
      </c>
      <c r="BM18" s="48">
        <f>R18</f>
        <v>6262.63</v>
      </c>
      <c r="BN18" s="48">
        <f>S18</f>
        <v>3781.77</v>
      </c>
      <c r="BO18" s="48"/>
      <c r="BP18" s="48"/>
      <c r="BQ18" s="48"/>
      <c r="BR18" s="48"/>
      <c r="BS18" s="48"/>
      <c r="BT18" s="48"/>
      <c r="BU18" s="48"/>
      <c r="BV18" s="48">
        <v>6</v>
      </c>
      <c r="BW18" s="48">
        <f>BC18</f>
        <v>2300</v>
      </c>
      <c r="BX18" s="48">
        <v>6725</v>
      </c>
      <c r="BY18" s="48"/>
      <c r="BZ18" s="48">
        <f>AR18</f>
        <v>5640</v>
      </c>
      <c r="CA18" s="172">
        <v>620.97</v>
      </c>
      <c r="CB18" s="172">
        <v>571.65</v>
      </c>
      <c r="CC18" s="14">
        <v>5109</v>
      </c>
      <c r="CD18" s="14">
        <f t="shared" si="5"/>
        <v>2795</v>
      </c>
      <c r="CE18" s="54" t="str">
        <f t="shared" si="6"/>
        <v>0</v>
      </c>
      <c r="CF18" s="55">
        <f t="shared" si="7"/>
        <v>0</v>
      </c>
      <c r="CG18" s="54">
        <f t="shared" si="8"/>
        <v>1</v>
      </c>
      <c r="CH18" s="55">
        <f t="shared" si="9"/>
        <v>4965</v>
      </c>
      <c r="CI18" s="55">
        <f t="shared" si="19"/>
        <v>1</v>
      </c>
      <c r="CJ18" s="55">
        <f t="shared" si="19"/>
        <v>4965</v>
      </c>
      <c r="CK18" s="56">
        <v>44</v>
      </c>
      <c r="CL18" s="57" t="str">
        <f t="shared" si="10"/>
        <v>0</v>
      </c>
      <c r="CM18" s="57" t="str">
        <f t="shared" si="11"/>
        <v>0</v>
      </c>
      <c r="CN18" s="167">
        <f t="shared" si="12"/>
        <v>2.0132117017930167</v>
      </c>
      <c r="CO18" s="178" t="str">
        <f t="shared" si="13"/>
        <v>0</v>
      </c>
      <c r="CP18" s="178" t="str">
        <f t="shared" si="20"/>
        <v>0</v>
      </c>
      <c r="CQ18" s="167">
        <f t="shared" si="21"/>
        <v>20.956392728411323</v>
      </c>
      <c r="CR18" s="185">
        <v>1</v>
      </c>
      <c r="CS18" s="185">
        <v>0</v>
      </c>
      <c r="CT18" s="185">
        <v>0</v>
      </c>
      <c r="CU18" s="185">
        <v>0</v>
      </c>
      <c r="CV18" s="185">
        <v>1</v>
      </c>
      <c r="CW18" s="185">
        <v>0</v>
      </c>
      <c r="CX18" s="185">
        <v>0</v>
      </c>
      <c r="CY18" s="185">
        <v>0</v>
      </c>
      <c r="CZ18" s="185">
        <v>0</v>
      </c>
      <c r="DA18" s="186">
        <v>95</v>
      </c>
      <c r="DB18" s="187">
        <v>95</v>
      </c>
      <c r="DC18" s="188">
        <v>0</v>
      </c>
      <c r="DD18" s="185">
        <v>88</v>
      </c>
      <c r="DE18" s="185">
        <v>39</v>
      </c>
      <c r="DF18" s="189">
        <v>139</v>
      </c>
      <c r="DG18" s="185">
        <v>42</v>
      </c>
      <c r="DH18" s="185">
        <v>39</v>
      </c>
      <c r="DI18" s="189">
        <v>139</v>
      </c>
      <c r="DJ18" s="185">
        <v>48</v>
      </c>
      <c r="DK18" s="185">
        <v>0</v>
      </c>
      <c r="DL18" s="185">
        <v>0</v>
      </c>
      <c r="DM18" s="188">
        <v>0</v>
      </c>
      <c r="DN18" s="185">
        <v>0</v>
      </c>
      <c r="DO18" s="185">
        <v>0</v>
      </c>
      <c r="DP18" s="188">
        <v>0</v>
      </c>
      <c r="DQ18" s="185">
        <v>0</v>
      </c>
      <c r="DR18" s="184">
        <f t="shared" si="14"/>
        <v>95</v>
      </c>
      <c r="DS18" s="185">
        <v>17</v>
      </c>
    </row>
    <row r="19" spans="1:123" s="58" customFormat="1">
      <c r="A19" s="43" t="s">
        <v>96</v>
      </c>
      <c r="B19" s="44">
        <v>13</v>
      </c>
      <c r="C19" s="13" t="s">
        <v>75</v>
      </c>
      <c r="D19" s="45">
        <v>1953</v>
      </c>
      <c r="E19" s="46"/>
      <c r="F19" s="46" t="s">
        <v>29</v>
      </c>
      <c r="G19" s="47">
        <v>1</v>
      </c>
      <c r="H19" s="46">
        <v>5</v>
      </c>
      <c r="I19" s="46" t="s">
        <v>100</v>
      </c>
      <c r="J19" s="48">
        <v>37057</v>
      </c>
      <c r="K19" s="48">
        <v>2179</v>
      </c>
      <c r="L19" s="48">
        <v>2834</v>
      </c>
      <c r="M19" s="48">
        <v>0</v>
      </c>
      <c r="N19" s="48">
        <f>105+1-1</f>
        <v>105</v>
      </c>
      <c r="O19" s="48">
        <f>264+3-3</f>
        <v>264</v>
      </c>
      <c r="P19" s="48">
        <v>108</v>
      </c>
      <c r="Q19" s="63">
        <v>238</v>
      </c>
      <c r="R19" s="61">
        <f>7370.8+76.24-76.24</f>
        <v>7370.8</v>
      </c>
      <c r="S19" s="52">
        <f>4572.07-50.59</f>
        <v>4521.4799999999996</v>
      </c>
      <c r="T19" s="21">
        <f t="shared" si="0"/>
        <v>95</v>
      </c>
      <c r="U19" s="215">
        <f t="shared" si="15"/>
        <v>0.90998534758777871</v>
      </c>
      <c r="V19" s="50">
        <f t="shared" si="1"/>
        <v>6707.32</v>
      </c>
      <c r="W19" s="50">
        <f t="shared" si="2"/>
        <v>4121.7299999999996</v>
      </c>
      <c r="X19" s="22">
        <v>10</v>
      </c>
      <c r="Y19" s="215">
        <f t="shared" si="16"/>
        <v>9.0014652412221202E-2</v>
      </c>
      <c r="Z19" s="170">
        <v>663.48</v>
      </c>
      <c r="AA19" s="170">
        <v>399.75</v>
      </c>
      <c r="AB19" s="51"/>
      <c r="AC19" s="51"/>
      <c r="AD19" s="51"/>
      <c r="AE19" s="170">
        <f t="shared" si="17"/>
        <v>978.34</v>
      </c>
      <c r="AF19" s="174">
        <f t="shared" si="18"/>
        <v>809.14</v>
      </c>
      <c r="AG19" s="174"/>
      <c r="AH19" s="174">
        <f>809.1+0.04</f>
        <v>809.14</v>
      </c>
      <c r="AI19" s="174">
        <f>169.24-76.24+76.24-0.04</f>
        <v>169.20000000000002</v>
      </c>
      <c r="AJ19" s="53"/>
      <c r="AK19" s="174">
        <f t="shared" si="3"/>
        <v>8349.14</v>
      </c>
      <c r="AL19" s="48"/>
      <c r="AM19" s="48"/>
      <c r="AN19" s="48">
        <v>6</v>
      </c>
      <c r="AO19" s="48"/>
      <c r="AP19" s="48"/>
      <c r="AQ19" s="48">
        <v>2</v>
      </c>
      <c r="AR19" s="48">
        <v>5555</v>
      </c>
      <c r="AS19" s="48">
        <v>1500</v>
      </c>
      <c r="AT19" s="48">
        <v>450</v>
      </c>
      <c r="AU19" s="48">
        <v>483</v>
      </c>
      <c r="AV19" s="48">
        <v>180</v>
      </c>
      <c r="AW19" s="48">
        <f t="shared" si="22"/>
        <v>5921</v>
      </c>
      <c r="AX19" s="48"/>
      <c r="AY19" s="48">
        <f>5958-37</f>
        <v>5921</v>
      </c>
      <c r="AZ19" s="48"/>
      <c r="BA19" s="48">
        <v>141</v>
      </c>
      <c r="BB19" s="48">
        <v>2326</v>
      </c>
      <c r="BC19" s="48">
        <v>2326</v>
      </c>
      <c r="BD19" s="48">
        <v>30</v>
      </c>
      <c r="BE19" s="48">
        <v>12</v>
      </c>
      <c r="BF19" s="48">
        <f>380-4</f>
        <v>376</v>
      </c>
      <c r="BG19" s="48">
        <f>1022-1</f>
        <v>1021</v>
      </c>
      <c r="BH19" s="48"/>
      <c r="BI19" s="48">
        <f>7797-150</f>
        <v>7647</v>
      </c>
      <c r="BJ19" s="48">
        <v>228</v>
      </c>
      <c r="BK19" s="48"/>
      <c r="BL19" s="48">
        <f>G19</f>
        <v>1</v>
      </c>
      <c r="BM19" s="48">
        <f>R19</f>
        <v>7370.8</v>
      </c>
      <c r="BN19" s="48">
        <f>S19</f>
        <v>4521.4799999999996</v>
      </c>
      <c r="BO19" s="48"/>
      <c r="BP19" s="48"/>
      <c r="BQ19" s="48"/>
      <c r="BR19" s="48"/>
      <c r="BS19" s="48"/>
      <c r="BT19" s="48"/>
      <c r="BU19" s="48"/>
      <c r="BV19" s="48">
        <v>4</v>
      </c>
      <c r="BW19" s="48">
        <f>BC19</f>
        <v>2326</v>
      </c>
      <c r="BX19" s="48">
        <v>6455</v>
      </c>
      <c r="BY19" s="48"/>
      <c r="BZ19" s="48">
        <f>AR19</f>
        <v>5555</v>
      </c>
      <c r="CA19" s="172">
        <v>813.57</v>
      </c>
      <c r="CB19" s="172">
        <v>767.27</v>
      </c>
      <c r="CC19" s="14">
        <v>6077</v>
      </c>
      <c r="CD19" s="14">
        <f t="shared" si="5"/>
        <v>3898</v>
      </c>
      <c r="CE19" s="54" t="str">
        <f t="shared" si="6"/>
        <v>0</v>
      </c>
      <c r="CF19" s="55">
        <f t="shared" si="7"/>
        <v>0</v>
      </c>
      <c r="CG19" s="54">
        <f t="shared" si="8"/>
        <v>1</v>
      </c>
      <c r="CH19" s="55">
        <f t="shared" si="9"/>
        <v>5921</v>
      </c>
      <c r="CI19" s="55">
        <f t="shared" si="19"/>
        <v>1</v>
      </c>
      <c r="CJ19" s="55">
        <f t="shared" si="19"/>
        <v>5921</v>
      </c>
      <c r="CK19" s="56">
        <v>46</v>
      </c>
      <c r="CL19" s="57" t="str">
        <f t="shared" si="10"/>
        <v>0</v>
      </c>
      <c r="CM19" s="57" t="str">
        <f t="shared" si="11"/>
        <v>0</v>
      </c>
      <c r="CN19" s="167">
        <f t="shared" si="12"/>
        <v>9.001465241222121</v>
      </c>
      <c r="CO19" s="178" t="str">
        <f t="shared" si="13"/>
        <v>0</v>
      </c>
      <c r="CP19" s="178" t="str">
        <f t="shared" si="20"/>
        <v>0</v>
      </c>
      <c r="CQ19" s="167">
        <f t="shared" si="21"/>
        <v>17.637984271433943</v>
      </c>
      <c r="CR19" s="185">
        <v>1</v>
      </c>
      <c r="CS19" s="185">
        <v>0</v>
      </c>
      <c r="CT19" s="185">
        <v>0</v>
      </c>
      <c r="CU19" s="185">
        <v>0</v>
      </c>
      <c r="CV19" s="185">
        <v>3</v>
      </c>
      <c r="CW19" s="185">
        <v>0</v>
      </c>
      <c r="CX19" s="185">
        <v>0</v>
      </c>
      <c r="CY19" s="185">
        <v>0</v>
      </c>
      <c r="CZ19" s="185">
        <v>0</v>
      </c>
      <c r="DA19" s="186">
        <v>106</v>
      </c>
      <c r="DB19" s="187">
        <v>100</v>
      </c>
      <c r="DC19" s="188">
        <v>6</v>
      </c>
      <c r="DD19" s="185">
        <v>90</v>
      </c>
      <c r="DE19" s="185">
        <v>38</v>
      </c>
      <c r="DF19" s="189">
        <v>156</v>
      </c>
      <c r="DG19" s="185">
        <v>40</v>
      </c>
      <c r="DH19" s="185">
        <v>38</v>
      </c>
      <c r="DI19" s="189">
        <v>156</v>
      </c>
      <c r="DJ19" s="185">
        <v>45</v>
      </c>
      <c r="DK19" s="185">
        <v>3</v>
      </c>
      <c r="DL19" s="185">
        <v>2</v>
      </c>
      <c r="DM19" s="188">
        <v>2</v>
      </c>
      <c r="DN19" s="185">
        <v>2</v>
      </c>
      <c r="DO19" s="185">
        <v>2</v>
      </c>
      <c r="DP19" s="188">
        <v>2</v>
      </c>
      <c r="DQ19" s="185">
        <v>2</v>
      </c>
      <c r="DR19" s="184">
        <f t="shared" si="14"/>
        <v>106</v>
      </c>
      <c r="DS19" s="185">
        <v>33</v>
      </c>
    </row>
    <row r="20" spans="1:123">
      <c r="A20" s="43" t="s">
        <v>96</v>
      </c>
      <c r="B20" s="44">
        <v>14</v>
      </c>
      <c r="C20" s="13" t="s">
        <v>76</v>
      </c>
      <c r="D20" s="45">
        <v>1988</v>
      </c>
      <c r="E20" s="46"/>
      <c r="F20" s="46" t="s">
        <v>28</v>
      </c>
      <c r="G20" s="47">
        <v>1</v>
      </c>
      <c r="H20" s="46">
        <v>9</v>
      </c>
      <c r="I20" s="46" t="s">
        <v>99</v>
      </c>
      <c r="J20" s="48">
        <v>29351</v>
      </c>
      <c r="K20" s="48">
        <v>1196</v>
      </c>
      <c r="L20" s="48"/>
      <c r="M20" s="48">
        <v>1172</v>
      </c>
      <c r="N20" s="48">
        <v>101</v>
      </c>
      <c r="O20" s="48">
        <v>277</v>
      </c>
      <c r="P20" s="48">
        <v>102</v>
      </c>
      <c r="Q20" s="63">
        <v>230</v>
      </c>
      <c r="R20" s="61">
        <v>6552.2</v>
      </c>
      <c r="S20" s="52">
        <v>4090.7</v>
      </c>
      <c r="T20" s="21">
        <f t="shared" si="0"/>
        <v>96</v>
      </c>
      <c r="U20" s="215">
        <f t="shared" si="15"/>
        <v>0.95425963798418856</v>
      </c>
      <c r="V20" s="50">
        <f t="shared" si="1"/>
        <v>6252.5</v>
      </c>
      <c r="W20" s="50">
        <f t="shared" si="2"/>
        <v>3909.1</v>
      </c>
      <c r="X20" s="22">
        <v>5</v>
      </c>
      <c r="Y20" s="215">
        <f t="shared" si="16"/>
        <v>4.5740362015811484E-2</v>
      </c>
      <c r="Z20" s="170">
        <v>299.7</v>
      </c>
      <c r="AA20" s="170">
        <v>181.6</v>
      </c>
      <c r="AB20" s="51"/>
      <c r="AC20" s="51"/>
      <c r="AD20" s="51"/>
      <c r="AE20" s="170">
        <f t="shared" si="17"/>
        <v>100.4</v>
      </c>
      <c r="AF20" s="61">
        <f t="shared" si="18"/>
        <v>100.4</v>
      </c>
      <c r="AG20" s="174"/>
      <c r="AH20" s="61">
        <v>100.4</v>
      </c>
      <c r="AI20" s="174"/>
      <c r="AJ20" s="53"/>
      <c r="AK20" s="174">
        <f t="shared" si="3"/>
        <v>6652.5999999999995</v>
      </c>
      <c r="AL20" s="48"/>
      <c r="AM20" s="48">
        <v>3</v>
      </c>
      <c r="AN20" s="48">
        <v>3</v>
      </c>
      <c r="AO20" s="48">
        <v>3</v>
      </c>
      <c r="AP20" s="48"/>
      <c r="AQ20" s="48">
        <v>3</v>
      </c>
      <c r="AR20" s="48">
        <v>5400</v>
      </c>
      <c r="AS20" s="48"/>
      <c r="AT20" s="48">
        <v>360</v>
      </c>
      <c r="AU20" s="48">
        <v>396</v>
      </c>
      <c r="AV20" s="48">
        <v>429</v>
      </c>
      <c r="AW20" s="48">
        <f t="shared" si="22"/>
        <v>10869</v>
      </c>
      <c r="AX20" s="48"/>
      <c r="AY20" s="48">
        <v>10869</v>
      </c>
      <c r="AZ20" s="48">
        <v>2970</v>
      </c>
      <c r="BA20" s="48">
        <v>182</v>
      </c>
      <c r="BB20" s="48">
        <v>1071</v>
      </c>
      <c r="BC20" s="48">
        <v>1071</v>
      </c>
      <c r="BD20" s="48">
        <v>51</v>
      </c>
      <c r="BE20" s="48">
        <v>6</v>
      </c>
      <c r="BF20" s="48">
        <v>384</v>
      </c>
      <c r="BG20" s="48">
        <v>996</v>
      </c>
      <c r="BH20" s="48"/>
      <c r="BI20" s="48">
        <v>11400</v>
      </c>
      <c r="BJ20" s="48">
        <v>4905</v>
      </c>
      <c r="BK20" s="48">
        <v>135</v>
      </c>
      <c r="BL20" s="48"/>
      <c r="BM20" s="48"/>
      <c r="BN20" s="48"/>
      <c r="BO20" s="48">
        <f>G20</f>
        <v>1</v>
      </c>
      <c r="BP20" s="48">
        <f>R20</f>
        <v>6552.2</v>
      </c>
      <c r="BQ20" s="48">
        <f>S20</f>
        <v>4090.7</v>
      </c>
      <c r="BR20" s="48"/>
      <c r="BS20" s="48"/>
      <c r="BT20" s="48"/>
      <c r="BU20" s="48"/>
      <c r="BV20" s="48">
        <v>2</v>
      </c>
      <c r="BW20" s="48"/>
      <c r="BX20" s="48"/>
      <c r="BY20" s="48"/>
      <c r="BZ20" s="48"/>
      <c r="CA20" s="172">
        <v>2245.6999999999998</v>
      </c>
      <c r="CB20" s="172">
        <v>1172.3</v>
      </c>
      <c r="CC20" s="14">
        <v>2447</v>
      </c>
      <c r="CD20" s="14">
        <f t="shared" si="5"/>
        <v>1251</v>
      </c>
      <c r="CE20" s="54" t="str">
        <f t="shared" si="6"/>
        <v>0</v>
      </c>
      <c r="CF20" s="55">
        <f t="shared" si="7"/>
        <v>0</v>
      </c>
      <c r="CG20" s="54">
        <f t="shared" si="8"/>
        <v>1</v>
      </c>
      <c r="CH20" s="55">
        <f t="shared" si="9"/>
        <v>10869</v>
      </c>
      <c r="CI20" s="55">
        <f t="shared" si="19"/>
        <v>1</v>
      </c>
      <c r="CJ20" s="55">
        <f t="shared" si="19"/>
        <v>10869</v>
      </c>
      <c r="CK20" s="41">
        <v>30</v>
      </c>
      <c r="CL20" s="57" t="str">
        <f t="shared" si="10"/>
        <v>0</v>
      </c>
      <c r="CM20" s="57" t="str">
        <f t="shared" si="11"/>
        <v>0</v>
      </c>
      <c r="CN20" s="167">
        <f t="shared" si="12"/>
        <v>4.5740362015811487</v>
      </c>
      <c r="CO20" s="178" t="str">
        <f t="shared" si="13"/>
        <v>0</v>
      </c>
      <c r="CP20" s="178" t="str">
        <f t="shared" si="20"/>
        <v>0</v>
      </c>
      <c r="CQ20" s="167">
        <f t="shared" si="21"/>
        <v>6.0141899407750357</v>
      </c>
      <c r="CR20" s="185">
        <v>1</v>
      </c>
      <c r="CS20" s="185">
        <v>0</v>
      </c>
      <c r="CT20" s="185">
        <v>0</v>
      </c>
      <c r="CU20" s="185">
        <v>0</v>
      </c>
      <c r="CV20" s="185">
        <v>2</v>
      </c>
      <c r="CW20" s="185">
        <v>0</v>
      </c>
      <c r="CX20" s="185">
        <v>0</v>
      </c>
      <c r="CY20" s="185">
        <v>0</v>
      </c>
      <c r="CZ20" s="185">
        <v>0</v>
      </c>
      <c r="DA20" s="186">
        <v>101</v>
      </c>
      <c r="DB20" s="187">
        <v>99</v>
      </c>
      <c r="DC20" s="188">
        <v>2</v>
      </c>
      <c r="DD20" s="185">
        <v>94</v>
      </c>
      <c r="DE20" s="185">
        <v>68</v>
      </c>
      <c r="DF20" s="189">
        <v>169</v>
      </c>
      <c r="DG20" s="185">
        <v>92</v>
      </c>
      <c r="DH20" s="185">
        <v>68</v>
      </c>
      <c r="DI20" s="189">
        <v>169</v>
      </c>
      <c r="DJ20" s="185">
        <v>92</v>
      </c>
      <c r="DK20" s="185">
        <v>2</v>
      </c>
      <c r="DL20" s="185">
        <v>1</v>
      </c>
      <c r="DM20" s="188">
        <v>2</v>
      </c>
      <c r="DN20" s="185">
        <v>1</v>
      </c>
      <c r="DO20" s="185">
        <v>1</v>
      </c>
      <c r="DP20" s="188">
        <v>2</v>
      </c>
      <c r="DQ20" s="185">
        <v>1</v>
      </c>
      <c r="DR20" s="184">
        <f t="shared" si="14"/>
        <v>101</v>
      </c>
      <c r="DS20" s="185">
        <v>101</v>
      </c>
    </row>
    <row r="21" spans="1:123">
      <c r="A21" s="43" t="s">
        <v>96</v>
      </c>
      <c r="B21" s="44">
        <v>15</v>
      </c>
      <c r="C21" s="13" t="s">
        <v>118</v>
      </c>
      <c r="D21" s="45">
        <v>1983</v>
      </c>
      <c r="E21" s="46"/>
      <c r="F21" s="46" t="s">
        <v>28</v>
      </c>
      <c r="G21" s="47">
        <v>1</v>
      </c>
      <c r="H21" s="46">
        <v>9</v>
      </c>
      <c r="I21" s="46" t="s">
        <v>99</v>
      </c>
      <c r="J21" s="48">
        <f>20281+19963+19980</f>
        <v>60224</v>
      </c>
      <c r="K21" s="48">
        <f>784+783+787</f>
        <v>2354</v>
      </c>
      <c r="L21" s="48"/>
      <c r="M21" s="48">
        <f>738+725+751</f>
        <v>2214</v>
      </c>
      <c r="N21" s="48">
        <v>210</v>
      </c>
      <c r="O21" s="48">
        <v>588</v>
      </c>
      <c r="P21" s="48">
        <v>214</v>
      </c>
      <c r="Q21" s="63">
        <v>527</v>
      </c>
      <c r="R21" s="61">
        <v>13647</v>
      </c>
      <c r="S21" s="52">
        <v>8656.6</v>
      </c>
      <c r="T21" s="21">
        <f t="shared" si="0"/>
        <v>193</v>
      </c>
      <c r="U21" s="215">
        <f t="shared" si="15"/>
        <v>0.91782076646882094</v>
      </c>
      <c r="V21" s="62">
        <f t="shared" si="1"/>
        <v>12525.5</v>
      </c>
      <c r="W21" s="62">
        <f t="shared" si="2"/>
        <v>7937.8</v>
      </c>
      <c r="X21" s="22">
        <v>17</v>
      </c>
      <c r="Y21" s="215">
        <f t="shared" si="16"/>
        <v>8.2179233531179008E-2</v>
      </c>
      <c r="Z21" s="170">
        <v>1121.5</v>
      </c>
      <c r="AA21" s="170">
        <v>718.8</v>
      </c>
      <c r="AB21" s="51"/>
      <c r="AC21" s="51"/>
      <c r="AD21" s="51"/>
      <c r="AE21" s="170">
        <f t="shared" si="17"/>
        <v>0</v>
      </c>
      <c r="AF21" s="61">
        <f t="shared" si="18"/>
        <v>0</v>
      </c>
      <c r="AG21" s="174"/>
      <c r="AH21" s="61">
        <v>0</v>
      </c>
      <c r="AI21" s="174"/>
      <c r="AJ21" s="53"/>
      <c r="AK21" s="174">
        <f t="shared" si="3"/>
        <v>13647</v>
      </c>
      <c r="AL21" s="48"/>
      <c r="AM21" s="48">
        <f>2+2+2</f>
        <v>6</v>
      </c>
      <c r="AN21" s="48">
        <f t="shared" ref="AN21:AO21" si="23">2+2+2</f>
        <v>6</v>
      </c>
      <c r="AO21" s="48">
        <f t="shared" si="23"/>
        <v>6</v>
      </c>
      <c r="AP21" s="48"/>
      <c r="AQ21" s="48">
        <f>2+2+2</f>
        <v>6</v>
      </c>
      <c r="AR21" s="48">
        <f>3930+3930+3930</f>
        <v>11790</v>
      </c>
      <c r="AS21" s="48">
        <f>0+583+0</f>
        <v>583</v>
      </c>
      <c r="AT21" s="48">
        <f>0+945+0</f>
        <v>945</v>
      </c>
      <c r="AU21" s="48">
        <f>200+197+262</f>
        <v>659</v>
      </c>
      <c r="AV21" s="48">
        <f>286+286+286</f>
        <v>858</v>
      </c>
      <c r="AW21" s="48">
        <f t="shared" si="22"/>
        <v>21738</v>
      </c>
      <c r="AX21" s="48">
        <f>7246+7246+7246</f>
        <v>21738</v>
      </c>
      <c r="AY21" s="48"/>
      <c r="AZ21" s="48">
        <f>2140+2140+2140</f>
        <v>6420</v>
      </c>
      <c r="BA21" s="48">
        <f>165+132+171</f>
        <v>468</v>
      </c>
      <c r="BB21" s="48">
        <f>738+725+729</f>
        <v>2192</v>
      </c>
      <c r="BC21" s="48">
        <f>738+725+729</f>
        <v>2192</v>
      </c>
      <c r="BD21" s="48">
        <f>34+34+34</f>
        <v>102</v>
      </c>
      <c r="BE21" s="48">
        <f>4+4+4</f>
        <v>12</v>
      </c>
      <c r="BF21" s="48">
        <f>266+266+266</f>
        <v>798</v>
      </c>
      <c r="BG21" s="48">
        <f>686+686+686</f>
        <v>2058</v>
      </c>
      <c r="BH21" s="48"/>
      <c r="BI21" s="48">
        <f>7600+7600+7600</f>
        <v>22800</v>
      </c>
      <c r="BJ21" s="48">
        <f>3270+3270+3270</f>
        <v>9810</v>
      </c>
      <c r="BK21" s="48">
        <f>90+90+90</f>
        <v>270</v>
      </c>
      <c r="BL21" s="48"/>
      <c r="BM21" s="48"/>
      <c r="BN21" s="48"/>
      <c r="BO21" s="48">
        <f>G21</f>
        <v>1</v>
      </c>
      <c r="BP21" s="48">
        <f>R21</f>
        <v>13647</v>
      </c>
      <c r="BQ21" s="48">
        <f>S21</f>
        <v>8656.6</v>
      </c>
      <c r="BR21" s="48"/>
      <c r="BS21" s="48"/>
      <c r="BT21" s="48"/>
      <c r="BU21" s="48"/>
      <c r="BV21" s="48">
        <v>2</v>
      </c>
      <c r="BW21" s="48"/>
      <c r="BX21" s="48"/>
      <c r="BY21" s="48"/>
      <c r="BZ21" s="48"/>
      <c r="CA21" s="172">
        <v>2570.3000000000002</v>
      </c>
      <c r="CB21" s="172">
        <v>2323.5</v>
      </c>
      <c r="CC21" s="14">
        <f>1890+1585+1628</f>
        <v>5103</v>
      </c>
      <c r="CD21" s="14">
        <f t="shared" si="5"/>
        <v>2749</v>
      </c>
      <c r="CE21" s="54">
        <f t="shared" si="6"/>
        <v>1</v>
      </c>
      <c r="CF21" s="55">
        <f t="shared" si="7"/>
        <v>21738</v>
      </c>
      <c r="CG21" s="54" t="str">
        <f t="shared" si="8"/>
        <v>0</v>
      </c>
      <c r="CH21" s="55">
        <f t="shared" si="9"/>
        <v>0</v>
      </c>
      <c r="CI21" s="55">
        <f t="shared" si="19"/>
        <v>1</v>
      </c>
      <c r="CJ21" s="55">
        <f t="shared" si="19"/>
        <v>21738</v>
      </c>
      <c r="CK21" s="41">
        <v>30</v>
      </c>
      <c r="CL21" s="57" t="str">
        <f t="shared" si="10"/>
        <v>0</v>
      </c>
      <c r="CM21" s="57" t="str">
        <f t="shared" si="11"/>
        <v>0</v>
      </c>
      <c r="CN21" s="167">
        <f t="shared" si="12"/>
        <v>8.2179233531179001</v>
      </c>
      <c r="CO21" s="178" t="str">
        <f t="shared" si="13"/>
        <v>0</v>
      </c>
      <c r="CP21" s="178" t="str">
        <f t="shared" si="20"/>
        <v>0</v>
      </c>
      <c r="CQ21" s="167">
        <f t="shared" si="21"/>
        <v>8.2179233531179001</v>
      </c>
      <c r="CR21" s="185">
        <v>1</v>
      </c>
      <c r="CS21" s="185">
        <v>0</v>
      </c>
      <c r="CT21" s="185">
        <v>0</v>
      </c>
      <c r="CU21" s="185">
        <v>0</v>
      </c>
      <c r="CV21" s="185">
        <v>6</v>
      </c>
      <c r="CW21" s="185">
        <v>0</v>
      </c>
      <c r="CX21" s="185">
        <v>0</v>
      </c>
      <c r="CY21" s="185">
        <v>0</v>
      </c>
      <c r="CZ21" s="185">
        <v>0</v>
      </c>
      <c r="DA21" s="186">
        <v>210</v>
      </c>
      <c r="DB21" s="187">
        <v>199</v>
      </c>
      <c r="DC21" s="188">
        <v>11</v>
      </c>
      <c r="DD21" s="185">
        <v>198</v>
      </c>
      <c r="DE21" s="185">
        <v>153</v>
      </c>
      <c r="DF21" s="189">
        <v>363</v>
      </c>
      <c r="DG21" s="185">
        <v>168</v>
      </c>
      <c r="DH21" s="185">
        <v>153</v>
      </c>
      <c r="DI21" s="189">
        <v>363</v>
      </c>
      <c r="DJ21" s="185">
        <v>168</v>
      </c>
      <c r="DK21" s="185">
        <v>6</v>
      </c>
      <c r="DL21" s="185">
        <v>4</v>
      </c>
      <c r="DM21" s="188">
        <v>11</v>
      </c>
      <c r="DN21" s="185">
        <v>5</v>
      </c>
      <c r="DO21" s="185">
        <v>4</v>
      </c>
      <c r="DP21" s="188">
        <v>11</v>
      </c>
      <c r="DQ21" s="185">
        <v>5</v>
      </c>
      <c r="DR21" s="184">
        <f t="shared" si="14"/>
        <v>210</v>
      </c>
      <c r="DS21" s="185">
        <v>210</v>
      </c>
    </row>
    <row r="22" spans="1:123">
      <c r="A22" s="43" t="s">
        <v>96</v>
      </c>
      <c r="B22" s="44">
        <v>16</v>
      </c>
      <c r="C22" s="13" t="s">
        <v>77</v>
      </c>
      <c r="D22" s="45">
        <v>1954</v>
      </c>
      <c r="E22" s="46"/>
      <c r="F22" s="46" t="s">
        <v>29</v>
      </c>
      <c r="G22" s="47">
        <v>1</v>
      </c>
      <c r="H22" s="46">
        <v>5</v>
      </c>
      <c r="I22" s="46" t="s">
        <v>100</v>
      </c>
      <c r="J22" s="48">
        <v>44928</v>
      </c>
      <c r="K22" s="48">
        <v>2348</v>
      </c>
      <c r="L22" s="48">
        <v>2814</v>
      </c>
      <c r="M22" s="48">
        <v>0</v>
      </c>
      <c r="N22" s="48">
        <v>101</v>
      </c>
      <c r="O22" s="48">
        <v>256</v>
      </c>
      <c r="P22" s="48">
        <v>114</v>
      </c>
      <c r="Q22" s="63">
        <v>228</v>
      </c>
      <c r="R22" s="61">
        <v>7027.81</v>
      </c>
      <c r="S22" s="52">
        <v>4286.82</v>
      </c>
      <c r="T22" s="21">
        <f t="shared" si="0"/>
        <v>93</v>
      </c>
      <c r="U22" s="215">
        <f t="shared" si="15"/>
        <v>0.91756891549430042</v>
      </c>
      <c r="V22" s="50">
        <f t="shared" si="1"/>
        <v>6448.5</v>
      </c>
      <c r="W22" s="50">
        <f t="shared" si="2"/>
        <v>3934.6099999999997</v>
      </c>
      <c r="X22" s="22">
        <v>8</v>
      </c>
      <c r="Y22" s="215">
        <f t="shared" si="16"/>
        <v>8.2431084505699484E-2</v>
      </c>
      <c r="Z22" s="170">
        <v>579.30999999999995</v>
      </c>
      <c r="AA22" s="170">
        <v>352.21</v>
      </c>
      <c r="AB22" s="51"/>
      <c r="AC22" s="51"/>
      <c r="AD22" s="51"/>
      <c r="AE22" s="170">
        <f t="shared" si="17"/>
        <v>2769.62</v>
      </c>
      <c r="AF22" s="61">
        <f t="shared" si="18"/>
        <v>1936.2</v>
      </c>
      <c r="AG22" s="174"/>
      <c r="AH22" s="61">
        <f>2432.75-496.55</f>
        <v>1936.2</v>
      </c>
      <c r="AI22" s="174">
        <f>336.87+496.55</f>
        <v>833.42000000000007</v>
      </c>
      <c r="AJ22" s="53"/>
      <c r="AK22" s="174">
        <f t="shared" si="3"/>
        <v>9797.43</v>
      </c>
      <c r="AL22" s="48"/>
      <c r="AM22" s="48"/>
      <c r="AN22" s="48">
        <v>6</v>
      </c>
      <c r="AO22" s="48"/>
      <c r="AP22" s="48"/>
      <c r="AQ22" s="48">
        <v>2</v>
      </c>
      <c r="AR22" s="48">
        <v>5540</v>
      </c>
      <c r="AS22" s="48">
        <v>585</v>
      </c>
      <c r="AT22" s="48">
        <v>550</v>
      </c>
      <c r="AU22" s="48">
        <v>321</v>
      </c>
      <c r="AV22" s="48">
        <v>180</v>
      </c>
      <c r="AW22" s="48">
        <f t="shared" si="22"/>
        <v>5958</v>
      </c>
      <c r="AX22" s="48"/>
      <c r="AY22" s="48">
        <v>5958</v>
      </c>
      <c r="AZ22" s="48"/>
      <c r="BA22" s="48">
        <v>137</v>
      </c>
      <c r="BB22" s="48">
        <v>2400</v>
      </c>
      <c r="BC22" s="48">
        <v>2400</v>
      </c>
      <c r="BD22" s="48">
        <v>30</v>
      </c>
      <c r="BE22" s="48">
        <v>12</v>
      </c>
      <c r="BF22" s="48">
        <v>396</v>
      </c>
      <c r="BG22" s="48">
        <v>1002</v>
      </c>
      <c r="BH22" s="48"/>
      <c r="BI22" s="48">
        <v>6333</v>
      </c>
      <c r="BJ22" s="48">
        <v>228</v>
      </c>
      <c r="BK22" s="48"/>
      <c r="BL22" s="48">
        <f>G22</f>
        <v>1</v>
      </c>
      <c r="BM22" s="48">
        <f>R22</f>
        <v>7027.81</v>
      </c>
      <c r="BN22" s="48">
        <f>S22</f>
        <v>4286.82</v>
      </c>
      <c r="BO22" s="48"/>
      <c r="BP22" s="48"/>
      <c r="BQ22" s="48"/>
      <c r="BR22" s="48"/>
      <c r="BS22" s="48"/>
      <c r="BT22" s="48"/>
      <c r="BU22" s="48"/>
      <c r="BV22" s="48">
        <v>4</v>
      </c>
      <c r="BW22" s="48">
        <f>BC22</f>
        <v>2400</v>
      </c>
      <c r="BX22" s="48">
        <v>6455</v>
      </c>
      <c r="BY22" s="48"/>
      <c r="BZ22" s="48">
        <f>AR22</f>
        <v>5540</v>
      </c>
      <c r="CA22" s="172">
        <v>858.12</v>
      </c>
      <c r="CB22" s="172">
        <v>805.2</v>
      </c>
      <c r="CC22" s="14">
        <v>6185</v>
      </c>
      <c r="CD22" s="14">
        <f t="shared" si="5"/>
        <v>3837</v>
      </c>
      <c r="CE22" s="54" t="str">
        <f t="shared" si="6"/>
        <v>0</v>
      </c>
      <c r="CF22" s="55">
        <f t="shared" si="7"/>
        <v>0</v>
      </c>
      <c r="CG22" s="54">
        <f t="shared" si="8"/>
        <v>1</v>
      </c>
      <c r="CH22" s="55">
        <f t="shared" si="9"/>
        <v>5958</v>
      </c>
      <c r="CI22" s="55">
        <f t="shared" si="19"/>
        <v>1</v>
      </c>
      <c r="CJ22" s="55">
        <f t="shared" si="19"/>
        <v>5958</v>
      </c>
      <c r="CK22" s="41">
        <v>51</v>
      </c>
      <c r="CL22" s="57" t="str">
        <f t="shared" si="10"/>
        <v>0</v>
      </c>
      <c r="CM22" s="57" t="str">
        <f t="shared" si="11"/>
        <v>0</v>
      </c>
      <c r="CN22" s="167">
        <f t="shared" si="12"/>
        <v>8.2431084505699488</v>
      </c>
      <c r="CO22" s="178" t="str">
        <f t="shared" si="13"/>
        <v>0</v>
      </c>
      <c r="CP22" s="178" t="str">
        <f t="shared" si="20"/>
        <v>0</v>
      </c>
      <c r="CQ22" s="167">
        <f t="shared" si="21"/>
        <v>25.675202578635421</v>
      </c>
      <c r="CR22" s="185">
        <v>1</v>
      </c>
      <c r="CS22" s="185">
        <v>0</v>
      </c>
      <c r="CT22" s="185">
        <v>0</v>
      </c>
      <c r="CU22" s="185">
        <v>0</v>
      </c>
      <c r="CV22" s="185">
        <v>3</v>
      </c>
      <c r="CW22" s="185">
        <v>0</v>
      </c>
      <c r="CX22" s="185">
        <v>0</v>
      </c>
      <c r="CY22" s="185">
        <v>0</v>
      </c>
      <c r="CZ22" s="185">
        <v>0</v>
      </c>
      <c r="DA22" s="186">
        <v>101</v>
      </c>
      <c r="DB22" s="187">
        <v>94</v>
      </c>
      <c r="DC22" s="188">
        <v>7</v>
      </c>
      <c r="DD22" s="185">
        <v>91</v>
      </c>
      <c r="DE22" s="185">
        <v>29</v>
      </c>
      <c r="DF22" s="189">
        <v>163</v>
      </c>
      <c r="DG22" s="185">
        <v>30</v>
      </c>
      <c r="DH22" s="185">
        <v>29</v>
      </c>
      <c r="DI22" s="189">
        <v>163</v>
      </c>
      <c r="DJ22" s="185">
        <v>30</v>
      </c>
      <c r="DK22" s="185">
        <v>4</v>
      </c>
      <c r="DL22" s="185">
        <v>1</v>
      </c>
      <c r="DM22" s="188">
        <v>2</v>
      </c>
      <c r="DN22" s="185">
        <v>1</v>
      </c>
      <c r="DO22" s="185">
        <v>1</v>
      </c>
      <c r="DP22" s="188">
        <v>2</v>
      </c>
      <c r="DQ22" s="185">
        <v>1</v>
      </c>
      <c r="DR22" s="184">
        <f t="shared" si="14"/>
        <v>101</v>
      </c>
      <c r="DS22" s="185">
        <v>24</v>
      </c>
    </row>
    <row r="23" spans="1:123">
      <c r="A23" s="43" t="s">
        <v>96</v>
      </c>
      <c r="B23" s="44">
        <v>17</v>
      </c>
      <c r="C23" s="13" t="s">
        <v>78</v>
      </c>
      <c r="D23" s="45">
        <v>1983</v>
      </c>
      <c r="E23" s="46"/>
      <c r="F23" s="46" t="s">
        <v>28</v>
      </c>
      <c r="G23" s="47">
        <v>1</v>
      </c>
      <c r="H23" s="46">
        <v>9</v>
      </c>
      <c r="I23" s="46" t="s">
        <v>99</v>
      </c>
      <c r="J23" s="48">
        <v>29977</v>
      </c>
      <c r="K23" s="48">
        <v>1181</v>
      </c>
      <c r="L23" s="48"/>
      <c r="M23" s="48">
        <v>1081</v>
      </c>
      <c r="N23" s="48">
        <v>105</v>
      </c>
      <c r="O23" s="48">
        <v>285</v>
      </c>
      <c r="P23" s="48">
        <v>106</v>
      </c>
      <c r="Q23" s="63">
        <v>246</v>
      </c>
      <c r="R23" s="61">
        <v>6797.1</v>
      </c>
      <c r="S23" s="52">
        <v>4225</v>
      </c>
      <c r="T23" s="21">
        <f t="shared" si="0"/>
        <v>98</v>
      </c>
      <c r="U23" s="215">
        <f t="shared" si="15"/>
        <v>0.93441320563181351</v>
      </c>
      <c r="V23" s="50">
        <f t="shared" si="1"/>
        <v>6351.3</v>
      </c>
      <c r="W23" s="50">
        <f t="shared" si="2"/>
        <v>3946.4</v>
      </c>
      <c r="X23" s="22">
        <v>7</v>
      </c>
      <c r="Y23" s="215">
        <f t="shared" si="16"/>
        <v>6.558679436818643E-2</v>
      </c>
      <c r="Z23" s="170">
        <v>445.8</v>
      </c>
      <c r="AA23" s="170">
        <v>278.60000000000002</v>
      </c>
      <c r="AB23" s="51"/>
      <c r="AC23" s="51"/>
      <c r="AD23" s="51"/>
      <c r="AE23" s="170">
        <f t="shared" si="17"/>
        <v>0</v>
      </c>
      <c r="AF23" s="61">
        <f t="shared" si="18"/>
        <v>0</v>
      </c>
      <c r="AG23" s="174"/>
      <c r="AH23" s="61">
        <v>0</v>
      </c>
      <c r="AI23" s="174"/>
      <c r="AJ23" s="53"/>
      <c r="AK23" s="174">
        <f t="shared" si="3"/>
        <v>6797.1</v>
      </c>
      <c r="AL23" s="48"/>
      <c r="AM23" s="48">
        <v>3</v>
      </c>
      <c r="AN23" s="48">
        <v>3</v>
      </c>
      <c r="AO23" s="48">
        <v>3</v>
      </c>
      <c r="AP23" s="48"/>
      <c r="AQ23" s="48">
        <v>3</v>
      </c>
      <c r="AR23" s="48">
        <v>5400</v>
      </c>
      <c r="AS23" s="48">
        <v>583</v>
      </c>
      <c r="AT23" s="48">
        <v>276</v>
      </c>
      <c r="AU23" s="48">
        <v>360</v>
      </c>
      <c r="AV23" s="48">
        <v>429</v>
      </c>
      <c r="AW23" s="48">
        <f t="shared" si="22"/>
        <v>10869</v>
      </c>
      <c r="AX23" s="48">
        <v>3623</v>
      </c>
      <c r="AY23" s="48">
        <v>7246</v>
      </c>
      <c r="AZ23" s="48">
        <v>2970</v>
      </c>
      <c r="BA23" s="48">
        <v>260</v>
      </c>
      <c r="BB23" s="48">
        <v>1085</v>
      </c>
      <c r="BC23" s="48">
        <v>1085</v>
      </c>
      <c r="BD23" s="48">
        <v>51</v>
      </c>
      <c r="BE23" s="48">
        <v>6</v>
      </c>
      <c r="BF23" s="48">
        <v>381</v>
      </c>
      <c r="BG23" s="48">
        <v>1011</v>
      </c>
      <c r="BH23" s="48"/>
      <c r="BI23" s="48">
        <v>11400</v>
      </c>
      <c r="BJ23" s="48">
        <v>4905</v>
      </c>
      <c r="BK23" s="48">
        <v>135</v>
      </c>
      <c r="BL23" s="48"/>
      <c r="BM23" s="48"/>
      <c r="BN23" s="48"/>
      <c r="BO23" s="48">
        <f>G23</f>
        <v>1</v>
      </c>
      <c r="BP23" s="48">
        <f>R23</f>
        <v>6797.1</v>
      </c>
      <c r="BQ23" s="48">
        <f>S23</f>
        <v>4225</v>
      </c>
      <c r="BR23" s="48"/>
      <c r="BS23" s="48"/>
      <c r="BT23" s="48"/>
      <c r="BU23" s="48"/>
      <c r="BV23" s="48">
        <v>2</v>
      </c>
      <c r="BW23" s="48"/>
      <c r="BX23" s="48"/>
      <c r="BY23" s="48"/>
      <c r="BZ23" s="48"/>
      <c r="CA23" s="172">
        <v>1318.1</v>
      </c>
      <c r="CB23" s="172">
        <v>1219.5999999999999</v>
      </c>
      <c r="CC23" s="14">
        <v>2139</v>
      </c>
      <c r="CD23" s="14">
        <f t="shared" si="5"/>
        <v>958</v>
      </c>
      <c r="CE23" s="54"/>
      <c r="CF23" s="55">
        <f t="shared" si="7"/>
        <v>3623</v>
      </c>
      <c r="CG23" s="54">
        <f t="shared" si="8"/>
        <v>1</v>
      </c>
      <c r="CH23" s="55">
        <f t="shared" si="9"/>
        <v>7246</v>
      </c>
      <c r="CI23" s="55">
        <f t="shared" si="19"/>
        <v>1</v>
      </c>
      <c r="CJ23" s="55">
        <f t="shared" si="19"/>
        <v>10869</v>
      </c>
      <c r="CK23" s="41">
        <v>26</v>
      </c>
      <c r="CL23" s="57" t="str">
        <f t="shared" si="10"/>
        <v>0</v>
      </c>
      <c r="CM23" s="57" t="str">
        <f t="shared" si="11"/>
        <v>0</v>
      </c>
      <c r="CN23" s="167">
        <f t="shared" si="12"/>
        <v>6.5586794368186432</v>
      </c>
      <c r="CO23" s="178" t="str">
        <f t="shared" si="13"/>
        <v>0</v>
      </c>
      <c r="CP23" s="178" t="str">
        <f t="shared" si="20"/>
        <v>0</v>
      </c>
      <c r="CQ23" s="167">
        <f t="shared" si="21"/>
        <v>6.5586794368186432</v>
      </c>
      <c r="CR23" s="185">
        <v>1</v>
      </c>
      <c r="CS23" s="185">
        <v>1</v>
      </c>
      <c r="CT23" s="185">
        <v>1</v>
      </c>
      <c r="CU23" s="185">
        <v>1</v>
      </c>
      <c r="CV23" s="185">
        <v>2</v>
      </c>
      <c r="CW23" s="185">
        <v>0</v>
      </c>
      <c r="CX23" s="185">
        <v>0</v>
      </c>
      <c r="CY23" s="185">
        <v>0</v>
      </c>
      <c r="CZ23" s="185">
        <v>3</v>
      </c>
      <c r="DA23" s="186">
        <v>105</v>
      </c>
      <c r="DB23" s="187">
        <v>98</v>
      </c>
      <c r="DC23" s="188">
        <v>7</v>
      </c>
      <c r="DD23" s="185">
        <v>96</v>
      </c>
      <c r="DE23" s="185">
        <v>58</v>
      </c>
      <c r="DF23" s="189">
        <v>170</v>
      </c>
      <c r="DG23" s="185">
        <v>78</v>
      </c>
      <c r="DH23" s="185">
        <v>58</v>
      </c>
      <c r="DI23" s="189">
        <v>170</v>
      </c>
      <c r="DJ23" s="185">
        <v>79</v>
      </c>
      <c r="DK23" s="185">
        <v>6</v>
      </c>
      <c r="DL23" s="185">
        <v>4</v>
      </c>
      <c r="DM23" s="188">
        <v>8</v>
      </c>
      <c r="DN23" s="185">
        <v>5</v>
      </c>
      <c r="DO23" s="185">
        <v>4</v>
      </c>
      <c r="DP23" s="188">
        <v>8</v>
      </c>
      <c r="DQ23" s="185">
        <v>5</v>
      </c>
      <c r="DR23" s="184">
        <f t="shared" si="14"/>
        <v>105</v>
      </c>
      <c r="DS23" s="185">
        <v>105</v>
      </c>
    </row>
    <row r="24" spans="1:123">
      <c r="A24" s="43" t="s">
        <v>96</v>
      </c>
      <c r="B24" s="44">
        <v>18</v>
      </c>
      <c r="C24" s="13" t="s">
        <v>79</v>
      </c>
      <c r="D24" s="45">
        <v>1954</v>
      </c>
      <c r="E24" s="46"/>
      <c r="F24" s="46" t="s">
        <v>29</v>
      </c>
      <c r="G24" s="47">
        <v>1</v>
      </c>
      <c r="H24" s="46">
        <v>6</v>
      </c>
      <c r="I24" s="46" t="s">
        <v>100</v>
      </c>
      <c r="J24" s="48">
        <v>36789</v>
      </c>
      <c r="K24" s="48">
        <v>2146</v>
      </c>
      <c r="L24" s="48">
        <v>3037</v>
      </c>
      <c r="M24" s="48">
        <v>0</v>
      </c>
      <c r="N24" s="48">
        <v>100</v>
      </c>
      <c r="O24" s="48">
        <v>299</v>
      </c>
      <c r="P24" s="48">
        <v>102</v>
      </c>
      <c r="Q24" s="49">
        <v>75</v>
      </c>
      <c r="R24" s="61">
        <v>7919.92</v>
      </c>
      <c r="S24" s="52">
        <v>4996.67</v>
      </c>
      <c r="T24" s="18">
        <f t="shared" si="0"/>
        <v>49</v>
      </c>
      <c r="U24" s="215">
        <f t="shared" si="15"/>
        <v>0.48617536540773143</v>
      </c>
      <c r="V24" s="50">
        <f t="shared" si="1"/>
        <v>3850.4700000000003</v>
      </c>
      <c r="W24" s="50">
        <f t="shared" si="2"/>
        <v>2448.3200000000002</v>
      </c>
      <c r="X24" s="22">
        <v>51</v>
      </c>
      <c r="Y24" s="215">
        <f t="shared" si="16"/>
        <v>0.51382463459226857</v>
      </c>
      <c r="Z24" s="170">
        <v>4069.45</v>
      </c>
      <c r="AA24" s="170">
        <v>2548.35</v>
      </c>
      <c r="AB24" s="51"/>
      <c r="AC24" s="51"/>
      <c r="AD24" s="51"/>
      <c r="AE24" s="170">
        <f t="shared" si="17"/>
        <v>364.6</v>
      </c>
      <c r="AF24" s="61">
        <f t="shared" si="18"/>
        <v>0</v>
      </c>
      <c r="AG24" s="174"/>
      <c r="AH24" s="61">
        <v>0</v>
      </c>
      <c r="AI24" s="174">
        <v>364.6</v>
      </c>
      <c r="AJ24" s="53"/>
      <c r="AK24" s="174">
        <f t="shared" si="3"/>
        <v>8284.52</v>
      </c>
      <c r="AL24" s="48"/>
      <c r="AM24" s="48"/>
      <c r="AN24" s="48">
        <v>5</v>
      </c>
      <c r="AO24" s="48"/>
      <c r="AP24" s="48"/>
      <c r="AQ24" s="48">
        <v>1</v>
      </c>
      <c r="AR24" s="48">
        <v>5554</v>
      </c>
      <c r="AS24" s="48">
        <v>583</v>
      </c>
      <c r="AT24" s="48">
        <v>360</v>
      </c>
      <c r="AU24" s="48">
        <v>386</v>
      </c>
      <c r="AV24" s="48">
        <v>150</v>
      </c>
      <c r="AW24" s="48">
        <f t="shared" si="22"/>
        <v>5705</v>
      </c>
      <c r="AX24" s="48"/>
      <c r="AY24" s="48">
        <v>5705</v>
      </c>
      <c r="AZ24" s="48"/>
      <c r="BA24" s="48">
        <v>126</v>
      </c>
      <c r="BB24" s="48">
        <v>2105</v>
      </c>
      <c r="BC24" s="48">
        <v>2105</v>
      </c>
      <c r="BD24" s="48">
        <v>25</v>
      </c>
      <c r="BE24" s="48">
        <v>10</v>
      </c>
      <c r="BF24" s="48">
        <v>418</v>
      </c>
      <c r="BG24" s="48">
        <v>1042</v>
      </c>
      <c r="BH24" s="48"/>
      <c r="BI24" s="48">
        <v>8500</v>
      </c>
      <c r="BJ24" s="48">
        <v>190</v>
      </c>
      <c r="BK24" s="48"/>
      <c r="BL24" s="48">
        <f>G24</f>
        <v>1</v>
      </c>
      <c r="BM24" s="48">
        <f>R24</f>
        <v>7919.92</v>
      </c>
      <c r="BN24" s="48">
        <f>S24</f>
        <v>4996.67</v>
      </c>
      <c r="BO24" s="48"/>
      <c r="BP24" s="48"/>
      <c r="BQ24" s="48"/>
      <c r="BR24" s="48"/>
      <c r="BS24" s="48"/>
      <c r="BT24" s="48"/>
      <c r="BU24" s="48"/>
      <c r="BV24" s="48">
        <v>4</v>
      </c>
      <c r="BW24" s="48">
        <f>BC24</f>
        <v>2105</v>
      </c>
      <c r="BX24" s="48">
        <v>6255</v>
      </c>
      <c r="BY24" s="48"/>
      <c r="BZ24" s="48">
        <f>AR24</f>
        <v>5554</v>
      </c>
      <c r="CA24" s="172">
        <v>653.6</v>
      </c>
      <c r="CB24" s="172">
        <v>653.6</v>
      </c>
      <c r="CC24" s="14">
        <v>5405</v>
      </c>
      <c r="CD24" s="14">
        <f t="shared" si="5"/>
        <v>3259</v>
      </c>
      <c r="CE24" s="54" t="str">
        <f t="shared" ref="CE24:CE54" si="24">IF(CF24&gt;0,G24,"0")</f>
        <v>0</v>
      </c>
      <c r="CF24" s="55">
        <f t="shared" si="7"/>
        <v>0</v>
      </c>
      <c r="CG24" s="54">
        <f t="shared" si="8"/>
        <v>1</v>
      </c>
      <c r="CH24" s="55">
        <f t="shared" si="9"/>
        <v>5705</v>
      </c>
      <c r="CI24" s="55">
        <f t="shared" si="19"/>
        <v>1</v>
      </c>
      <c r="CJ24" s="55">
        <f t="shared" si="19"/>
        <v>5705</v>
      </c>
      <c r="CK24" s="41">
        <v>75</v>
      </c>
      <c r="CL24" s="57">
        <f t="shared" si="10"/>
        <v>1</v>
      </c>
      <c r="CM24" s="57">
        <f t="shared" si="11"/>
        <v>7919.92</v>
      </c>
      <c r="CN24" s="167">
        <f t="shared" si="12"/>
        <v>51.382463459226855</v>
      </c>
      <c r="CO24" s="178" t="str">
        <f t="shared" si="13"/>
        <v>0</v>
      </c>
      <c r="CP24" s="178" t="str">
        <f t="shared" si="20"/>
        <v>0</v>
      </c>
      <c r="CQ24" s="167">
        <f t="shared" si="21"/>
        <v>49.121131942466185</v>
      </c>
      <c r="CR24" s="185">
        <v>1</v>
      </c>
      <c r="CS24" s="185">
        <v>0</v>
      </c>
      <c r="CT24" s="185">
        <v>0</v>
      </c>
      <c r="CU24" s="185">
        <v>0</v>
      </c>
      <c r="CV24" s="185">
        <v>2</v>
      </c>
      <c r="CW24" s="185">
        <v>0</v>
      </c>
      <c r="CX24" s="185">
        <v>0</v>
      </c>
      <c r="CY24" s="185">
        <v>0</v>
      </c>
      <c r="CZ24" s="185">
        <v>0</v>
      </c>
      <c r="DA24" s="186">
        <v>100</v>
      </c>
      <c r="DB24" s="187">
        <v>96</v>
      </c>
      <c r="DC24" s="188">
        <v>4</v>
      </c>
      <c r="DD24" s="185">
        <v>53</v>
      </c>
      <c r="DE24" s="185">
        <v>20</v>
      </c>
      <c r="DF24" s="189">
        <v>133</v>
      </c>
      <c r="DG24" s="185">
        <v>23</v>
      </c>
      <c r="DH24" s="185">
        <v>20</v>
      </c>
      <c r="DI24" s="189">
        <v>133</v>
      </c>
      <c r="DJ24" s="185">
        <v>25</v>
      </c>
      <c r="DK24" s="185">
        <v>4</v>
      </c>
      <c r="DL24" s="185">
        <v>0</v>
      </c>
      <c r="DM24" s="188">
        <v>28</v>
      </c>
      <c r="DN24" s="185">
        <v>0</v>
      </c>
      <c r="DO24" s="185">
        <v>0</v>
      </c>
      <c r="DP24" s="188">
        <v>28</v>
      </c>
      <c r="DQ24" s="185">
        <v>0</v>
      </c>
      <c r="DR24" s="184">
        <f t="shared" si="14"/>
        <v>100</v>
      </c>
      <c r="DS24" s="185">
        <v>60</v>
      </c>
    </row>
    <row r="25" spans="1:123">
      <c r="A25" s="43" t="s">
        <v>96</v>
      </c>
      <c r="B25" s="44">
        <v>19</v>
      </c>
      <c r="C25" s="13" t="s">
        <v>80</v>
      </c>
      <c r="D25" s="45">
        <v>1955</v>
      </c>
      <c r="E25" s="46"/>
      <c r="F25" s="46" t="s">
        <v>29</v>
      </c>
      <c r="G25" s="47">
        <v>1</v>
      </c>
      <c r="H25" s="46">
        <v>5</v>
      </c>
      <c r="I25" s="46" t="s">
        <v>100</v>
      </c>
      <c r="J25" s="48">
        <v>28754</v>
      </c>
      <c r="K25" s="48">
        <v>1656</v>
      </c>
      <c r="L25" s="48">
        <v>2023</v>
      </c>
      <c r="M25" s="48">
        <v>0</v>
      </c>
      <c r="N25" s="48">
        <v>76</v>
      </c>
      <c r="O25" s="48">
        <v>205</v>
      </c>
      <c r="P25" s="48">
        <v>78</v>
      </c>
      <c r="Q25" s="49">
        <v>131</v>
      </c>
      <c r="R25" s="61">
        <v>5686.6</v>
      </c>
      <c r="S25" s="52">
        <v>3516.96</v>
      </c>
      <c r="T25" s="18">
        <f t="shared" si="0"/>
        <v>51</v>
      </c>
      <c r="U25" s="215">
        <f t="shared" si="15"/>
        <v>0.62327225407097386</v>
      </c>
      <c r="V25" s="50">
        <f t="shared" si="1"/>
        <v>3544.3</v>
      </c>
      <c r="W25" s="50">
        <f t="shared" si="2"/>
        <v>2145.3099999999995</v>
      </c>
      <c r="X25" s="22">
        <v>25</v>
      </c>
      <c r="Y25" s="215">
        <f t="shared" si="16"/>
        <v>0.37672774592902614</v>
      </c>
      <c r="Z25" s="170">
        <v>2142.3000000000002</v>
      </c>
      <c r="AA25" s="170">
        <v>1371.6500000000005</v>
      </c>
      <c r="AB25" s="51"/>
      <c r="AC25" s="51"/>
      <c r="AD25" s="51"/>
      <c r="AE25" s="170">
        <f t="shared" si="17"/>
        <v>345.2</v>
      </c>
      <c r="AF25" s="61">
        <f t="shared" si="18"/>
        <v>0</v>
      </c>
      <c r="AG25" s="174"/>
      <c r="AH25" s="61">
        <v>0</v>
      </c>
      <c r="AI25" s="174">
        <v>345.2</v>
      </c>
      <c r="AJ25" s="53"/>
      <c r="AK25" s="174">
        <f t="shared" si="3"/>
        <v>6031.8</v>
      </c>
      <c r="AL25" s="48"/>
      <c r="AM25" s="48"/>
      <c r="AN25" s="48">
        <v>4</v>
      </c>
      <c r="AO25" s="48"/>
      <c r="AP25" s="48"/>
      <c r="AQ25" s="48">
        <v>1</v>
      </c>
      <c r="AR25" s="48">
        <v>4400</v>
      </c>
      <c r="AS25" s="48">
        <v>583</v>
      </c>
      <c r="AT25" s="48">
        <v>220</v>
      </c>
      <c r="AU25" s="48">
        <v>306</v>
      </c>
      <c r="AV25" s="48">
        <v>120</v>
      </c>
      <c r="AW25" s="48">
        <f t="shared" si="22"/>
        <v>3972</v>
      </c>
      <c r="AX25" s="48"/>
      <c r="AY25" s="48">
        <v>3972</v>
      </c>
      <c r="AZ25" s="48"/>
      <c r="BA25" s="48">
        <v>96</v>
      </c>
      <c r="BB25" s="48">
        <v>1654</v>
      </c>
      <c r="BC25" s="48">
        <v>1654</v>
      </c>
      <c r="BD25" s="48">
        <v>20</v>
      </c>
      <c r="BE25" s="48">
        <v>8</v>
      </c>
      <c r="BF25" s="48">
        <v>299</v>
      </c>
      <c r="BG25" s="48">
        <v>779</v>
      </c>
      <c r="BH25" s="48"/>
      <c r="BI25" s="48">
        <v>6023</v>
      </c>
      <c r="BJ25" s="48">
        <v>152</v>
      </c>
      <c r="BK25" s="48"/>
      <c r="BL25" s="48">
        <f>G25</f>
        <v>1</v>
      </c>
      <c r="BM25" s="48">
        <f>R25</f>
        <v>5686.6</v>
      </c>
      <c r="BN25" s="48">
        <f>S25</f>
        <v>3516.96</v>
      </c>
      <c r="BO25" s="48"/>
      <c r="BP25" s="48"/>
      <c r="BQ25" s="48"/>
      <c r="BR25" s="48"/>
      <c r="BS25" s="48"/>
      <c r="BT25" s="48"/>
      <c r="BU25" s="48"/>
      <c r="BV25" s="48">
        <v>2</v>
      </c>
      <c r="BW25" s="48">
        <f>BC25</f>
        <v>1654</v>
      </c>
      <c r="BX25" s="48">
        <v>5820</v>
      </c>
      <c r="BY25" s="48"/>
      <c r="BZ25" s="48">
        <f>AR25</f>
        <v>4400</v>
      </c>
      <c r="CA25" s="172">
        <v>553.83999999999992</v>
      </c>
      <c r="CB25" s="172">
        <v>553.84</v>
      </c>
      <c r="CC25" s="14">
        <v>3911</v>
      </c>
      <c r="CD25" s="14">
        <f t="shared" si="5"/>
        <v>2255</v>
      </c>
      <c r="CE25" s="54" t="str">
        <f t="shared" si="24"/>
        <v>0</v>
      </c>
      <c r="CF25" s="55">
        <f t="shared" si="7"/>
        <v>0</v>
      </c>
      <c r="CG25" s="54">
        <f t="shared" si="8"/>
        <v>1</v>
      </c>
      <c r="CH25" s="55">
        <f t="shared" si="9"/>
        <v>3972</v>
      </c>
      <c r="CI25" s="55">
        <f t="shared" si="19"/>
        <v>1</v>
      </c>
      <c r="CJ25" s="55">
        <f t="shared" si="19"/>
        <v>3972</v>
      </c>
      <c r="CK25" s="41">
        <v>59</v>
      </c>
      <c r="CL25" s="57" t="str">
        <f t="shared" si="10"/>
        <v>0</v>
      </c>
      <c r="CM25" s="57" t="str">
        <f t="shared" si="11"/>
        <v>0</v>
      </c>
      <c r="CN25" s="167">
        <f t="shared" si="12"/>
        <v>37.672774592902613</v>
      </c>
      <c r="CO25" s="178" t="str">
        <f t="shared" si="13"/>
        <v>0</v>
      </c>
      <c r="CP25" s="178" t="str">
        <f t="shared" si="20"/>
        <v>0</v>
      </c>
      <c r="CQ25" s="167">
        <f t="shared" si="21"/>
        <v>35.516761165821151</v>
      </c>
      <c r="CR25" s="185">
        <v>1</v>
      </c>
      <c r="CS25" s="185">
        <v>0</v>
      </c>
      <c r="CT25" s="185">
        <v>0</v>
      </c>
      <c r="CU25" s="185">
        <v>0</v>
      </c>
      <c r="CV25" s="185">
        <v>1</v>
      </c>
      <c r="CW25" s="185">
        <v>0</v>
      </c>
      <c r="CX25" s="185">
        <v>0</v>
      </c>
      <c r="CY25" s="185">
        <v>0</v>
      </c>
      <c r="CZ25" s="185">
        <v>0</v>
      </c>
      <c r="DA25" s="186">
        <v>76</v>
      </c>
      <c r="DB25" s="187">
        <v>72</v>
      </c>
      <c r="DC25" s="188">
        <v>4</v>
      </c>
      <c r="DD25" s="185">
        <v>52</v>
      </c>
      <c r="DE25" s="185">
        <v>28</v>
      </c>
      <c r="DF25" s="189">
        <v>92</v>
      </c>
      <c r="DG25" s="185">
        <v>28</v>
      </c>
      <c r="DH25" s="185">
        <v>28</v>
      </c>
      <c r="DI25" s="189">
        <v>92</v>
      </c>
      <c r="DJ25" s="185">
        <v>28</v>
      </c>
      <c r="DK25" s="185">
        <v>3</v>
      </c>
      <c r="DL25" s="185">
        <v>0</v>
      </c>
      <c r="DM25" s="188">
        <v>21</v>
      </c>
      <c r="DN25" s="185">
        <v>0</v>
      </c>
      <c r="DO25" s="185">
        <v>0</v>
      </c>
      <c r="DP25" s="188">
        <v>21</v>
      </c>
      <c r="DQ25" s="185">
        <v>0</v>
      </c>
      <c r="DR25" s="184">
        <f t="shared" si="14"/>
        <v>76</v>
      </c>
      <c r="DS25" s="185">
        <v>47</v>
      </c>
    </row>
    <row r="26" spans="1:123">
      <c r="A26" s="43" t="s">
        <v>96</v>
      </c>
      <c r="B26" s="44">
        <v>20</v>
      </c>
      <c r="C26" s="13" t="s">
        <v>81</v>
      </c>
      <c r="D26" s="45">
        <v>1988</v>
      </c>
      <c r="E26" s="46"/>
      <c r="F26" s="46" t="s">
        <v>28</v>
      </c>
      <c r="G26" s="47">
        <v>1</v>
      </c>
      <c r="H26" s="46">
        <v>9</v>
      </c>
      <c r="I26" s="46" t="s">
        <v>99</v>
      </c>
      <c r="J26" s="48">
        <v>29422</v>
      </c>
      <c r="K26" s="48">
        <v>1192</v>
      </c>
      <c r="L26" s="48"/>
      <c r="M26" s="48">
        <v>1109</v>
      </c>
      <c r="N26" s="48">
        <v>100</v>
      </c>
      <c r="O26" s="48">
        <v>273</v>
      </c>
      <c r="P26" s="48">
        <v>102</v>
      </c>
      <c r="Q26" s="49">
        <v>245</v>
      </c>
      <c r="R26" s="61">
        <v>6516</v>
      </c>
      <c r="S26" s="52">
        <v>4048.2</v>
      </c>
      <c r="T26" s="18">
        <f t="shared" si="0"/>
        <v>87</v>
      </c>
      <c r="U26" s="215">
        <f t="shared" si="15"/>
        <v>0.87647329650092087</v>
      </c>
      <c r="V26" s="50">
        <f t="shared" si="1"/>
        <v>5711.1</v>
      </c>
      <c r="W26" s="50">
        <f t="shared" si="2"/>
        <v>3551.6</v>
      </c>
      <c r="X26" s="22">
        <v>13</v>
      </c>
      <c r="Y26" s="215">
        <f t="shared" si="16"/>
        <v>0.12352670349907918</v>
      </c>
      <c r="Z26" s="170">
        <v>804.9</v>
      </c>
      <c r="AA26" s="170">
        <v>496.6</v>
      </c>
      <c r="AB26" s="51"/>
      <c r="AC26" s="51"/>
      <c r="AD26" s="51"/>
      <c r="AE26" s="170">
        <f t="shared" si="17"/>
        <v>192.2</v>
      </c>
      <c r="AF26" s="61">
        <f t="shared" si="18"/>
        <v>0</v>
      </c>
      <c r="AG26" s="174"/>
      <c r="AH26" s="61">
        <v>0</v>
      </c>
      <c r="AI26" s="174">
        <v>192.2</v>
      </c>
      <c r="AJ26" s="53"/>
      <c r="AK26" s="174">
        <f t="shared" si="3"/>
        <v>6708.2</v>
      </c>
      <c r="AL26" s="48"/>
      <c r="AM26" s="48">
        <v>3</v>
      </c>
      <c r="AN26" s="48">
        <v>3</v>
      </c>
      <c r="AO26" s="48">
        <v>3</v>
      </c>
      <c r="AP26" s="48"/>
      <c r="AQ26" s="48">
        <v>3</v>
      </c>
      <c r="AR26" s="48">
        <v>5400</v>
      </c>
      <c r="AS26" s="48"/>
      <c r="AT26" s="48">
        <v>390</v>
      </c>
      <c r="AU26" s="48">
        <v>270</v>
      </c>
      <c r="AV26" s="48">
        <v>429</v>
      </c>
      <c r="AW26" s="48">
        <f t="shared" si="22"/>
        <v>10869</v>
      </c>
      <c r="AX26" s="48"/>
      <c r="AY26" s="48">
        <v>10869</v>
      </c>
      <c r="AZ26" s="48">
        <v>2970</v>
      </c>
      <c r="BA26" s="48">
        <v>188</v>
      </c>
      <c r="BB26" s="48">
        <v>1075</v>
      </c>
      <c r="BC26" s="48">
        <v>1075</v>
      </c>
      <c r="BD26" s="48">
        <v>51</v>
      </c>
      <c r="BE26" s="48">
        <v>6</v>
      </c>
      <c r="BF26" s="48">
        <v>384</v>
      </c>
      <c r="BG26" s="48">
        <v>996</v>
      </c>
      <c r="BH26" s="48"/>
      <c r="BI26" s="48">
        <v>11400</v>
      </c>
      <c r="BJ26" s="48">
        <v>4905</v>
      </c>
      <c r="BK26" s="48">
        <v>135</v>
      </c>
      <c r="BL26" s="48"/>
      <c r="BM26" s="48"/>
      <c r="BN26" s="48"/>
      <c r="BO26" s="48">
        <f>G26</f>
        <v>1</v>
      </c>
      <c r="BP26" s="48">
        <f>R26</f>
        <v>6516</v>
      </c>
      <c r="BQ26" s="48">
        <f>S26</f>
        <v>4048.2</v>
      </c>
      <c r="BR26" s="48"/>
      <c r="BS26" s="48"/>
      <c r="BT26" s="48"/>
      <c r="BU26" s="48"/>
      <c r="BV26" s="48">
        <v>3</v>
      </c>
      <c r="BW26" s="48"/>
      <c r="BX26" s="48"/>
      <c r="BY26" s="48"/>
      <c r="BZ26" s="48"/>
      <c r="CA26" s="172">
        <v>2241.5</v>
      </c>
      <c r="CB26" s="172">
        <v>1164.5</v>
      </c>
      <c r="CC26" s="14">
        <v>2287</v>
      </c>
      <c r="CD26" s="14">
        <f t="shared" si="5"/>
        <v>1095</v>
      </c>
      <c r="CE26" s="54" t="str">
        <f t="shared" si="24"/>
        <v>0</v>
      </c>
      <c r="CF26" s="55">
        <f t="shared" si="7"/>
        <v>0</v>
      </c>
      <c r="CG26" s="54">
        <f t="shared" si="8"/>
        <v>1</v>
      </c>
      <c r="CH26" s="55">
        <f t="shared" si="9"/>
        <v>10869</v>
      </c>
      <c r="CI26" s="55">
        <f t="shared" si="19"/>
        <v>1</v>
      </c>
      <c r="CJ26" s="55">
        <f t="shared" si="19"/>
        <v>10869</v>
      </c>
      <c r="CK26" s="41">
        <v>32</v>
      </c>
      <c r="CL26" s="57" t="str">
        <f t="shared" si="10"/>
        <v>0</v>
      </c>
      <c r="CM26" s="57" t="str">
        <f t="shared" si="11"/>
        <v>0</v>
      </c>
      <c r="CN26" s="167">
        <f t="shared" si="12"/>
        <v>12.352670349907918</v>
      </c>
      <c r="CO26" s="178" t="str">
        <f t="shared" si="13"/>
        <v>0</v>
      </c>
      <c r="CP26" s="178" t="str">
        <f t="shared" si="20"/>
        <v>0</v>
      </c>
      <c r="CQ26" s="167">
        <f t="shared" si="21"/>
        <v>11.998747801198533</v>
      </c>
      <c r="CR26" s="185">
        <v>1</v>
      </c>
      <c r="CS26" s="185">
        <v>0</v>
      </c>
      <c r="CT26" s="185">
        <v>0</v>
      </c>
      <c r="CU26" s="185">
        <v>0</v>
      </c>
      <c r="CV26" s="185">
        <v>2</v>
      </c>
      <c r="CW26" s="185">
        <v>0</v>
      </c>
      <c r="CX26" s="185">
        <v>0</v>
      </c>
      <c r="CY26" s="185">
        <v>0</v>
      </c>
      <c r="CZ26" s="185">
        <v>0</v>
      </c>
      <c r="DA26" s="186">
        <v>100</v>
      </c>
      <c r="DB26" s="187">
        <v>92</v>
      </c>
      <c r="DC26" s="188">
        <v>8</v>
      </c>
      <c r="DD26" s="185">
        <v>86</v>
      </c>
      <c r="DE26" s="185">
        <v>56</v>
      </c>
      <c r="DF26" s="189">
        <v>150</v>
      </c>
      <c r="DG26" s="185">
        <v>73</v>
      </c>
      <c r="DH26" s="185">
        <v>56</v>
      </c>
      <c r="DI26" s="189">
        <v>150</v>
      </c>
      <c r="DJ26" s="185">
        <v>74</v>
      </c>
      <c r="DK26" s="185">
        <v>8</v>
      </c>
      <c r="DL26" s="185">
        <v>4</v>
      </c>
      <c r="DM26" s="188">
        <v>19</v>
      </c>
      <c r="DN26" s="185">
        <v>5</v>
      </c>
      <c r="DO26" s="185">
        <v>4</v>
      </c>
      <c r="DP26" s="188">
        <v>19</v>
      </c>
      <c r="DQ26" s="185">
        <v>5</v>
      </c>
      <c r="DR26" s="184">
        <f t="shared" si="14"/>
        <v>100</v>
      </c>
      <c r="DS26" s="185">
        <v>100</v>
      </c>
    </row>
    <row r="27" spans="1:123">
      <c r="A27" s="43" t="s">
        <v>96</v>
      </c>
      <c r="B27" s="44">
        <v>21</v>
      </c>
      <c r="C27" s="13" t="s">
        <v>113</v>
      </c>
      <c r="D27" s="45">
        <v>1983</v>
      </c>
      <c r="E27" s="46"/>
      <c r="F27" s="46" t="s">
        <v>28</v>
      </c>
      <c r="G27" s="47">
        <v>1</v>
      </c>
      <c r="H27" s="46">
        <v>9</v>
      </c>
      <c r="I27" s="46" t="s">
        <v>112</v>
      </c>
      <c r="J27" s="48">
        <f>19786+9827+19410</f>
        <v>49023</v>
      </c>
      <c r="K27" s="48">
        <f>777+413+746</f>
        <v>1936</v>
      </c>
      <c r="L27" s="48"/>
      <c r="M27" s="48">
        <f>741+381+719</f>
        <v>1841</v>
      </c>
      <c r="N27" s="48">
        <v>175</v>
      </c>
      <c r="O27" s="48">
        <v>445</v>
      </c>
      <c r="P27" s="48">
        <v>177</v>
      </c>
      <c r="Q27" s="49">
        <v>407</v>
      </c>
      <c r="R27" s="61">
        <v>10834.3</v>
      </c>
      <c r="S27" s="52">
        <v>6635.8</v>
      </c>
      <c r="T27" s="18">
        <f t="shared" si="0"/>
        <v>160</v>
      </c>
      <c r="U27" s="215">
        <f t="shared" si="15"/>
        <v>0.9157859760206013</v>
      </c>
      <c r="V27" s="62">
        <f t="shared" si="1"/>
        <v>9921.9</v>
      </c>
      <c r="W27" s="62">
        <f t="shared" si="2"/>
        <v>6082.8</v>
      </c>
      <c r="X27" s="22">
        <v>15</v>
      </c>
      <c r="Y27" s="215">
        <f t="shared" si="16"/>
        <v>8.4214023979398769E-2</v>
      </c>
      <c r="Z27" s="170">
        <v>912.4</v>
      </c>
      <c r="AA27" s="170">
        <v>553</v>
      </c>
      <c r="AB27" s="51"/>
      <c r="AC27" s="51"/>
      <c r="AD27" s="51"/>
      <c r="AE27" s="170">
        <f t="shared" si="17"/>
        <v>0</v>
      </c>
      <c r="AF27" s="61">
        <f t="shared" si="18"/>
        <v>0</v>
      </c>
      <c r="AG27" s="174"/>
      <c r="AH27" s="61">
        <v>0</v>
      </c>
      <c r="AI27" s="174"/>
      <c r="AJ27" s="53"/>
      <c r="AK27" s="174">
        <f t="shared" si="3"/>
        <v>10834.3</v>
      </c>
      <c r="AL27" s="48"/>
      <c r="AM27" s="48">
        <f>2+1+2</f>
        <v>5</v>
      </c>
      <c r="AN27" s="48">
        <f t="shared" ref="AN27:AQ27" si="25">2+1+2</f>
        <v>5</v>
      </c>
      <c r="AO27" s="48">
        <f t="shared" si="25"/>
        <v>5</v>
      </c>
      <c r="AP27" s="48"/>
      <c r="AQ27" s="48">
        <f t="shared" si="25"/>
        <v>5</v>
      </c>
      <c r="AR27" s="48">
        <f>3480+2130+3480</f>
        <v>9090</v>
      </c>
      <c r="AS27" s="48"/>
      <c r="AT27" s="48">
        <v>855</v>
      </c>
      <c r="AU27" s="48">
        <f>140+175+106</f>
        <v>421</v>
      </c>
      <c r="AV27" s="48">
        <f>286+143+286</f>
        <v>715</v>
      </c>
      <c r="AW27" s="48">
        <f t="shared" si="22"/>
        <v>19928</v>
      </c>
      <c r="AX27" s="48">
        <f>7246+5436+7246</f>
        <v>19928</v>
      </c>
      <c r="AY27" s="48"/>
      <c r="AZ27" s="48">
        <f>1900+1900</f>
        <v>3800</v>
      </c>
      <c r="BA27" s="48">
        <f>169+103+163</f>
        <v>435</v>
      </c>
      <c r="BB27" s="48">
        <f>720+350+706</f>
        <v>1776</v>
      </c>
      <c r="BC27" s="48">
        <f>720+350+706</f>
        <v>1776</v>
      </c>
      <c r="BD27" s="48">
        <f>34+17+34</f>
        <v>85</v>
      </c>
      <c r="BE27" s="48">
        <f>4+2+4</f>
        <v>10</v>
      </c>
      <c r="BF27" s="48">
        <f>257+106+257</f>
        <v>620</v>
      </c>
      <c r="BG27" s="48">
        <f>607+298+677</f>
        <v>1582</v>
      </c>
      <c r="BH27" s="48"/>
      <c r="BI27" s="48">
        <f>7600+3800+7600</f>
        <v>19000</v>
      </c>
      <c r="BJ27" s="48">
        <f>3270+1635+3270</f>
        <v>8175</v>
      </c>
      <c r="BK27" s="48">
        <f>90+45+90</f>
        <v>225</v>
      </c>
      <c r="BL27" s="48"/>
      <c r="BM27" s="48"/>
      <c r="BN27" s="48"/>
      <c r="BO27" s="41"/>
      <c r="BP27" s="41"/>
      <c r="BQ27" s="41"/>
      <c r="BR27" s="48">
        <f>G27</f>
        <v>1</v>
      </c>
      <c r="BS27" s="48">
        <f>R27</f>
        <v>10834.3</v>
      </c>
      <c r="BT27" s="48">
        <f>S27</f>
        <v>6635.8</v>
      </c>
      <c r="BU27" s="48"/>
      <c r="BV27" s="48">
        <v>6</v>
      </c>
      <c r="BW27" s="48"/>
      <c r="BX27" s="48"/>
      <c r="BY27" s="48"/>
      <c r="BZ27" s="48">
        <v>2130</v>
      </c>
      <c r="CA27" s="172">
        <v>2429.6</v>
      </c>
      <c r="CB27" s="172">
        <v>1936.2</v>
      </c>
      <c r="CC27" s="14">
        <v>4129</v>
      </c>
      <c r="CD27" s="14">
        <f t="shared" si="5"/>
        <v>2193</v>
      </c>
      <c r="CE27" s="54">
        <f t="shared" si="24"/>
        <v>1</v>
      </c>
      <c r="CF27" s="55">
        <f t="shared" si="7"/>
        <v>19928</v>
      </c>
      <c r="CG27" s="54" t="str">
        <f t="shared" si="8"/>
        <v>0</v>
      </c>
      <c r="CH27" s="55">
        <f t="shared" si="9"/>
        <v>0</v>
      </c>
      <c r="CI27" s="55">
        <f t="shared" si="19"/>
        <v>1</v>
      </c>
      <c r="CJ27" s="55">
        <f t="shared" si="19"/>
        <v>19928</v>
      </c>
      <c r="CK27" s="41">
        <v>28</v>
      </c>
      <c r="CL27" s="57" t="str">
        <f t="shared" si="10"/>
        <v>0</v>
      </c>
      <c r="CM27" s="57" t="str">
        <f t="shared" si="11"/>
        <v>0</v>
      </c>
      <c r="CN27" s="167">
        <f t="shared" si="12"/>
        <v>8.4214023979398771</v>
      </c>
      <c r="CO27" s="178" t="str">
        <f t="shared" si="13"/>
        <v>0</v>
      </c>
      <c r="CP27" s="178" t="str">
        <f t="shared" si="20"/>
        <v>0</v>
      </c>
      <c r="CQ27" s="167">
        <f t="shared" si="21"/>
        <v>8.4214023979398771</v>
      </c>
      <c r="CR27" s="185">
        <v>1</v>
      </c>
      <c r="CS27" s="185">
        <v>0</v>
      </c>
      <c r="CT27" s="185">
        <v>0</v>
      </c>
      <c r="CU27" s="185">
        <v>0</v>
      </c>
      <c r="CV27" s="185">
        <v>4</v>
      </c>
      <c r="CW27" s="185">
        <v>0</v>
      </c>
      <c r="CX27" s="185">
        <v>0</v>
      </c>
      <c r="CY27" s="185">
        <v>0</v>
      </c>
      <c r="CZ27" s="185">
        <v>0</v>
      </c>
      <c r="DA27" s="186">
        <v>175</v>
      </c>
      <c r="DB27" s="187">
        <v>165</v>
      </c>
      <c r="DC27" s="188">
        <v>10</v>
      </c>
      <c r="DD27" s="185">
        <v>148</v>
      </c>
      <c r="DE27" s="185">
        <v>116</v>
      </c>
      <c r="DF27" s="189">
        <v>275</v>
      </c>
      <c r="DG27" s="185">
        <v>152</v>
      </c>
      <c r="DH27" s="185">
        <v>116</v>
      </c>
      <c r="DI27" s="189">
        <v>275</v>
      </c>
      <c r="DJ27" s="185">
        <v>132</v>
      </c>
      <c r="DK27" s="185">
        <v>6</v>
      </c>
      <c r="DL27" s="185">
        <v>3</v>
      </c>
      <c r="DM27" s="188">
        <v>6</v>
      </c>
      <c r="DN27" s="185">
        <v>3</v>
      </c>
      <c r="DO27" s="185">
        <v>3</v>
      </c>
      <c r="DP27" s="188">
        <v>6</v>
      </c>
      <c r="DQ27" s="185">
        <v>3</v>
      </c>
      <c r="DR27" s="184">
        <f t="shared" si="14"/>
        <v>175</v>
      </c>
      <c r="DS27" s="185">
        <v>175</v>
      </c>
    </row>
    <row r="28" spans="1:123">
      <c r="A28" s="43" t="s">
        <v>96</v>
      </c>
      <c r="B28" s="44">
        <v>22</v>
      </c>
      <c r="C28" s="13" t="s">
        <v>82</v>
      </c>
      <c r="D28" s="45">
        <v>1983</v>
      </c>
      <c r="E28" s="46"/>
      <c r="F28" s="46" t="s">
        <v>28</v>
      </c>
      <c r="G28" s="47">
        <v>1</v>
      </c>
      <c r="H28" s="46">
        <v>9</v>
      </c>
      <c r="I28" s="46" t="s">
        <v>99</v>
      </c>
      <c r="J28" s="48">
        <v>19920</v>
      </c>
      <c r="K28" s="48">
        <v>765</v>
      </c>
      <c r="L28" s="48"/>
      <c r="M28" s="48">
        <v>763</v>
      </c>
      <c r="N28" s="48">
        <v>70</v>
      </c>
      <c r="O28" s="48">
        <v>196</v>
      </c>
      <c r="P28" s="48">
        <v>71</v>
      </c>
      <c r="Q28" s="49">
        <v>164</v>
      </c>
      <c r="R28" s="61">
        <v>4562</v>
      </c>
      <c r="S28" s="52">
        <v>2875.8</v>
      </c>
      <c r="T28" s="18">
        <f t="shared" si="0"/>
        <v>60</v>
      </c>
      <c r="U28" s="215">
        <f t="shared" si="15"/>
        <v>0.84813678211310828</v>
      </c>
      <c r="V28" s="50">
        <f t="shared" si="1"/>
        <v>3869.2</v>
      </c>
      <c r="W28" s="50">
        <f t="shared" si="2"/>
        <v>2439.2999999999997</v>
      </c>
      <c r="X28" s="22">
        <v>10</v>
      </c>
      <c r="Y28" s="215">
        <f t="shared" si="16"/>
        <v>0.15186321788689169</v>
      </c>
      <c r="Z28" s="170">
        <v>692.8</v>
      </c>
      <c r="AA28" s="170">
        <v>436.50000000000045</v>
      </c>
      <c r="AB28" s="51"/>
      <c r="AC28" s="51"/>
      <c r="AD28" s="51"/>
      <c r="AE28" s="170">
        <f t="shared" si="17"/>
        <v>0</v>
      </c>
      <c r="AF28" s="61">
        <f t="shared" si="18"/>
        <v>0</v>
      </c>
      <c r="AG28" s="174"/>
      <c r="AH28" s="61">
        <v>0</v>
      </c>
      <c r="AI28" s="174"/>
      <c r="AJ28" s="53"/>
      <c r="AK28" s="174">
        <f t="shared" si="3"/>
        <v>4562</v>
      </c>
      <c r="AL28" s="48"/>
      <c r="AM28" s="48">
        <v>2</v>
      </c>
      <c r="AN28" s="48">
        <v>2</v>
      </c>
      <c r="AO28" s="48">
        <v>2</v>
      </c>
      <c r="AP28" s="48"/>
      <c r="AQ28" s="48">
        <v>2</v>
      </c>
      <c r="AR28" s="48">
        <v>3930</v>
      </c>
      <c r="AS28" s="48"/>
      <c r="AT28" s="48">
        <v>305</v>
      </c>
      <c r="AU28" s="48">
        <v>223</v>
      </c>
      <c r="AV28" s="48">
        <v>286</v>
      </c>
      <c r="AW28" s="48">
        <f t="shared" si="22"/>
        <v>7246</v>
      </c>
      <c r="AX28" s="48"/>
      <c r="AY28" s="48">
        <v>7246</v>
      </c>
      <c r="AZ28" s="48">
        <v>2140</v>
      </c>
      <c r="BA28" s="48">
        <v>167</v>
      </c>
      <c r="BB28" s="48">
        <v>740</v>
      </c>
      <c r="BC28" s="48">
        <v>740</v>
      </c>
      <c r="BD28" s="48">
        <v>34</v>
      </c>
      <c r="BE28" s="48">
        <v>4</v>
      </c>
      <c r="BF28" s="48">
        <v>260</v>
      </c>
      <c r="BG28" s="48">
        <v>670</v>
      </c>
      <c r="BH28" s="48"/>
      <c r="BI28" s="48">
        <v>7600</v>
      </c>
      <c r="BJ28" s="48">
        <v>3270</v>
      </c>
      <c r="BK28" s="48">
        <v>90</v>
      </c>
      <c r="BL28" s="48"/>
      <c r="BM28" s="48"/>
      <c r="BN28" s="48"/>
      <c r="BO28" s="48">
        <f>G28</f>
        <v>1</v>
      </c>
      <c r="BP28" s="48">
        <f>R28</f>
        <v>4562</v>
      </c>
      <c r="BQ28" s="48">
        <f>S28</f>
        <v>2875.8</v>
      </c>
      <c r="BR28" s="48"/>
      <c r="BS28" s="48"/>
      <c r="BT28" s="48"/>
      <c r="BU28" s="48"/>
      <c r="BV28" s="48">
        <v>2</v>
      </c>
      <c r="BW28" s="48"/>
      <c r="BX28" s="48"/>
      <c r="BY28" s="48"/>
      <c r="BZ28" s="48"/>
      <c r="CA28" s="172">
        <v>831.6</v>
      </c>
      <c r="CB28" s="172">
        <v>746.6</v>
      </c>
      <c r="CC28" s="14">
        <v>1481</v>
      </c>
      <c r="CD28" s="14">
        <f t="shared" si="5"/>
        <v>716</v>
      </c>
      <c r="CE28" s="54" t="str">
        <f t="shared" si="24"/>
        <v>0</v>
      </c>
      <c r="CF28" s="55">
        <f t="shared" si="7"/>
        <v>0</v>
      </c>
      <c r="CG28" s="54">
        <f t="shared" si="8"/>
        <v>1</v>
      </c>
      <c r="CH28" s="55">
        <f t="shared" si="9"/>
        <v>7246</v>
      </c>
      <c r="CI28" s="55">
        <f t="shared" si="19"/>
        <v>1</v>
      </c>
      <c r="CJ28" s="55">
        <f t="shared" si="19"/>
        <v>7246</v>
      </c>
      <c r="CK28" s="41">
        <v>34</v>
      </c>
      <c r="CL28" s="57" t="str">
        <f t="shared" si="10"/>
        <v>0</v>
      </c>
      <c r="CM28" s="57" t="str">
        <f t="shared" si="11"/>
        <v>0</v>
      </c>
      <c r="CN28" s="167">
        <f t="shared" si="12"/>
        <v>15.186321788689169</v>
      </c>
      <c r="CO28" s="178" t="str">
        <f t="shared" si="13"/>
        <v>0</v>
      </c>
      <c r="CP28" s="178" t="str">
        <f t="shared" si="20"/>
        <v>0</v>
      </c>
      <c r="CQ28" s="167">
        <f t="shared" si="21"/>
        <v>15.186321788689169</v>
      </c>
      <c r="CR28" s="185">
        <v>1</v>
      </c>
      <c r="CS28" s="185">
        <v>0</v>
      </c>
      <c r="CT28" s="185">
        <v>0</v>
      </c>
      <c r="CU28" s="185">
        <v>0</v>
      </c>
      <c r="CV28" s="185">
        <v>2</v>
      </c>
      <c r="CW28" s="185">
        <v>0</v>
      </c>
      <c r="CX28" s="185">
        <v>0</v>
      </c>
      <c r="CY28" s="185">
        <v>0</v>
      </c>
      <c r="CZ28" s="185">
        <v>0</v>
      </c>
      <c r="DA28" s="186">
        <v>70</v>
      </c>
      <c r="DB28" s="187">
        <v>61</v>
      </c>
      <c r="DC28" s="188">
        <v>9</v>
      </c>
      <c r="DD28" s="185">
        <v>58</v>
      </c>
      <c r="DE28" s="185">
        <v>55</v>
      </c>
      <c r="DF28" s="189">
        <v>113</v>
      </c>
      <c r="DG28" s="185">
        <v>42</v>
      </c>
      <c r="DH28" s="185">
        <v>55</v>
      </c>
      <c r="DI28" s="189">
        <v>113</v>
      </c>
      <c r="DJ28" s="185">
        <v>42</v>
      </c>
      <c r="DK28" s="185">
        <v>7</v>
      </c>
      <c r="DL28" s="185">
        <v>2</v>
      </c>
      <c r="DM28" s="188">
        <v>9</v>
      </c>
      <c r="DN28" s="185">
        <v>3</v>
      </c>
      <c r="DO28" s="185">
        <v>2</v>
      </c>
      <c r="DP28" s="188">
        <v>9</v>
      </c>
      <c r="DQ28" s="185">
        <v>3</v>
      </c>
      <c r="DR28" s="184">
        <f t="shared" si="14"/>
        <v>70</v>
      </c>
      <c r="DS28" s="185">
        <v>70</v>
      </c>
    </row>
    <row r="29" spans="1:123">
      <c r="A29" s="43" t="s">
        <v>96</v>
      </c>
      <c r="B29" s="44">
        <v>23</v>
      </c>
      <c r="C29" s="13" t="s">
        <v>86</v>
      </c>
      <c r="D29" s="45">
        <v>1951</v>
      </c>
      <c r="E29" s="46"/>
      <c r="F29" s="46" t="s">
        <v>29</v>
      </c>
      <c r="G29" s="47">
        <v>1</v>
      </c>
      <c r="H29" s="46">
        <v>5</v>
      </c>
      <c r="I29" s="46" t="s">
        <v>100</v>
      </c>
      <c r="J29" s="48">
        <v>35082</v>
      </c>
      <c r="K29" s="48">
        <v>1910</v>
      </c>
      <c r="L29" s="48">
        <v>2296</v>
      </c>
      <c r="M29" s="48">
        <v>0</v>
      </c>
      <c r="N29" s="48">
        <v>72</v>
      </c>
      <c r="O29" s="48">
        <v>185</v>
      </c>
      <c r="P29" s="48">
        <v>77</v>
      </c>
      <c r="Q29" s="49">
        <v>144</v>
      </c>
      <c r="R29" s="61">
        <v>5981.1</v>
      </c>
      <c r="S29" s="52">
        <v>3611.82</v>
      </c>
      <c r="T29" s="18">
        <f t="shared" si="0"/>
        <v>70</v>
      </c>
      <c r="U29" s="215">
        <f t="shared" si="15"/>
        <v>0.97399642206283132</v>
      </c>
      <c r="V29" s="50">
        <f t="shared" si="1"/>
        <v>5825.5700000000006</v>
      </c>
      <c r="W29" s="50">
        <f t="shared" si="2"/>
        <v>3523.27</v>
      </c>
      <c r="X29" s="22">
        <v>2</v>
      </c>
      <c r="Y29" s="215">
        <f t="shared" si="16"/>
        <v>2.6003577937168745E-2</v>
      </c>
      <c r="Z29" s="170">
        <v>155.53</v>
      </c>
      <c r="AA29" s="170">
        <v>88.55</v>
      </c>
      <c r="AB29" s="51"/>
      <c r="AC29" s="51"/>
      <c r="AD29" s="51"/>
      <c r="AE29" s="170">
        <f t="shared" si="17"/>
        <v>1218.04</v>
      </c>
      <c r="AF29" s="61">
        <f t="shared" si="18"/>
        <v>452.94</v>
      </c>
      <c r="AG29" s="174"/>
      <c r="AH29" s="61">
        <f>719.14-266.2</f>
        <v>452.94</v>
      </c>
      <c r="AI29" s="174">
        <f>498.9+266.2</f>
        <v>765.09999999999991</v>
      </c>
      <c r="AJ29" s="53"/>
      <c r="AK29" s="174">
        <f t="shared" si="3"/>
        <v>7199.14</v>
      </c>
      <c r="AL29" s="48"/>
      <c r="AM29" s="48"/>
      <c r="AN29" s="48">
        <v>4</v>
      </c>
      <c r="AO29" s="48"/>
      <c r="AP29" s="48"/>
      <c r="AQ29" s="48">
        <v>1</v>
      </c>
      <c r="AR29" s="48">
        <v>4640</v>
      </c>
      <c r="AS29" s="48">
        <v>1376</v>
      </c>
      <c r="AT29" s="48">
        <v>360</v>
      </c>
      <c r="AU29" s="48">
        <v>270</v>
      </c>
      <c r="AV29" s="48">
        <v>120</v>
      </c>
      <c r="AW29" s="48">
        <f t="shared" si="22"/>
        <v>3972</v>
      </c>
      <c r="AX29" s="48"/>
      <c r="AY29" s="48">
        <v>3972</v>
      </c>
      <c r="AZ29" s="48"/>
      <c r="BA29" s="48">
        <v>128</v>
      </c>
      <c r="BB29" s="48">
        <v>1920</v>
      </c>
      <c r="BC29" s="48">
        <v>1920</v>
      </c>
      <c r="BD29" s="48">
        <v>20</v>
      </c>
      <c r="BE29" s="48">
        <v>8</v>
      </c>
      <c r="BF29" s="48">
        <v>328</v>
      </c>
      <c r="BG29" s="48">
        <v>688</v>
      </c>
      <c r="BH29" s="48"/>
      <c r="BI29" s="48">
        <v>5351</v>
      </c>
      <c r="BJ29" s="48">
        <v>152</v>
      </c>
      <c r="BK29" s="48"/>
      <c r="BL29" s="48">
        <f t="shared" ref="BL29:BL35" si="26">G29</f>
        <v>1</v>
      </c>
      <c r="BM29" s="48">
        <f t="shared" ref="BM29:BN35" si="27">R29</f>
        <v>5981.1</v>
      </c>
      <c r="BN29" s="48">
        <f t="shared" si="27"/>
        <v>3611.82</v>
      </c>
      <c r="BO29" s="48"/>
      <c r="BP29" s="48"/>
      <c r="BQ29" s="48"/>
      <c r="BR29" s="48"/>
      <c r="BS29" s="48"/>
      <c r="BT29" s="48"/>
      <c r="BU29" s="48"/>
      <c r="BV29" s="48">
        <v>6</v>
      </c>
      <c r="BW29" s="48">
        <f t="shared" ref="BW29:BW35" si="28">BC29</f>
        <v>1920</v>
      </c>
      <c r="BX29" s="48">
        <v>5217</v>
      </c>
      <c r="BY29" s="48"/>
      <c r="BZ29" s="48">
        <f t="shared" ref="BZ29:BZ35" si="29">AR29</f>
        <v>4640</v>
      </c>
      <c r="CA29" s="172">
        <v>629.3599999999999</v>
      </c>
      <c r="CB29" s="172">
        <v>590.98</v>
      </c>
      <c r="CC29" s="14">
        <v>5058</v>
      </c>
      <c r="CD29" s="14">
        <f t="shared" si="5"/>
        <v>3148</v>
      </c>
      <c r="CE29" s="54" t="str">
        <f t="shared" si="24"/>
        <v>0</v>
      </c>
      <c r="CF29" s="55">
        <f t="shared" si="7"/>
        <v>0</v>
      </c>
      <c r="CG29" s="54">
        <f t="shared" si="8"/>
        <v>1</v>
      </c>
      <c r="CH29" s="55">
        <f t="shared" si="9"/>
        <v>3972</v>
      </c>
      <c r="CI29" s="55">
        <f t="shared" si="19"/>
        <v>1</v>
      </c>
      <c r="CJ29" s="55">
        <f t="shared" si="19"/>
        <v>3972</v>
      </c>
      <c r="CK29" s="41">
        <v>45</v>
      </c>
      <c r="CL29" s="57" t="str">
        <f t="shared" si="10"/>
        <v>0</v>
      </c>
      <c r="CM29" s="57" t="str">
        <f t="shared" si="11"/>
        <v>0</v>
      </c>
      <c r="CN29" s="167">
        <f t="shared" si="12"/>
        <v>2.6003577937168747</v>
      </c>
      <c r="CO29" s="178" t="str">
        <f t="shared" si="13"/>
        <v>0</v>
      </c>
      <c r="CP29" s="178" t="str">
        <f t="shared" si="20"/>
        <v>0</v>
      </c>
      <c r="CQ29" s="167">
        <f t="shared" si="21"/>
        <v>8.4519817644885364</v>
      </c>
      <c r="CR29" s="185">
        <v>1</v>
      </c>
      <c r="CS29" s="185">
        <v>0</v>
      </c>
      <c r="CT29" s="185">
        <v>0</v>
      </c>
      <c r="CU29" s="185">
        <v>0</v>
      </c>
      <c r="CV29" s="185">
        <v>2</v>
      </c>
      <c r="CW29" s="185">
        <v>0</v>
      </c>
      <c r="CX29" s="185">
        <v>0</v>
      </c>
      <c r="CY29" s="185">
        <v>0</v>
      </c>
      <c r="CZ29" s="185">
        <v>0</v>
      </c>
      <c r="DA29" s="186">
        <v>72</v>
      </c>
      <c r="DB29" s="187">
        <v>70</v>
      </c>
      <c r="DC29" s="188">
        <v>2</v>
      </c>
      <c r="DD29" s="185">
        <v>66</v>
      </c>
      <c r="DE29" s="185">
        <v>27</v>
      </c>
      <c r="DF29" s="189">
        <v>117</v>
      </c>
      <c r="DG29" s="185">
        <v>37</v>
      </c>
      <c r="DH29" s="185">
        <v>27</v>
      </c>
      <c r="DI29" s="189">
        <v>117</v>
      </c>
      <c r="DJ29" s="185">
        <v>54</v>
      </c>
      <c r="DK29" s="185">
        <v>2</v>
      </c>
      <c r="DL29" s="185">
        <v>0</v>
      </c>
      <c r="DM29" s="188">
        <v>2</v>
      </c>
      <c r="DN29" s="185">
        <v>0</v>
      </c>
      <c r="DO29" s="185">
        <v>0</v>
      </c>
      <c r="DP29" s="188">
        <v>2</v>
      </c>
      <c r="DQ29" s="185">
        <v>0</v>
      </c>
      <c r="DR29" s="184">
        <f t="shared" si="14"/>
        <v>72</v>
      </c>
      <c r="DS29" s="185">
        <v>11</v>
      </c>
    </row>
    <row r="30" spans="1:123">
      <c r="A30" s="43" t="s">
        <v>96</v>
      </c>
      <c r="B30" s="44">
        <v>24</v>
      </c>
      <c r="C30" s="13" t="s">
        <v>87</v>
      </c>
      <c r="D30" s="45">
        <v>1951</v>
      </c>
      <c r="E30" s="46"/>
      <c r="F30" s="46" t="s">
        <v>29</v>
      </c>
      <c r="G30" s="47">
        <v>1</v>
      </c>
      <c r="H30" s="46">
        <v>5</v>
      </c>
      <c r="I30" s="46" t="s">
        <v>100</v>
      </c>
      <c r="J30" s="48">
        <v>50810</v>
      </c>
      <c r="K30" s="48">
        <v>2912</v>
      </c>
      <c r="L30" s="48">
        <v>3315</v>
      </c>
      <c r="M30" s="48">
        <v>0</v>
      </c>
      <c r="N30" s="48">
        <v>103</v>
      </c>
      <c r="O30" s="48">
        <v>275</v>
      </c>
      <c r="P30" s="48">
        <v>107</v>
      </c>
      <c r="Q30" s="49">
        <v>185</v>
      </c>
      <c r="R30" s="61">
        <v>7574.81</v>
      </c>
      <c r="S30" s="52">
        <v>4428.92</v>
      </c>
      <c r="T30" s="18">
        <f t="shared" si="0"/>
        <v>92</v>
      </c>
      <c r="U30" s="215">
        <f t="shared" si="15"/>
        <v>0.88275745530250926</v>
      </c>
      <c r="V30" s="50">
        <f t="shared" si="1"/>
        <v>6686.72</v>
      </c>
      <c r="W30" s="50">
        <f t="shared" si="2"/>
        <v>3896.6</v>
      </c>
      <c r="X30" s="22">
        <v>11</v>
      </c>
      <c r="Y30" s="215">
        <f t="shared" si="16"/>
        <v>0.11724254469749076</v>
      </c>
      <c r="Z30" s="170">
        <v>888.09</v>
      </c>
      <c r="AA30" s="170">
        <v>532.32000000000005</v>
      </c>
      <c r="AB30" s="51"/>
      <c r="AC30" s="51"/>
      <c r="AD30" s="51"/>
      <c r="AE30" s="170">
        <f t="shared" si="17"/>
        <v>1909.1</v>
      </c>
      <c r="AF30" s="61">
        <f t="shared" si="18"/>
        <v>0</v>
      </c>
      <c r="AG30" s="174"/>
      <c r="AH30" s="61">
        <f>1677.8-1.8-1676</f>
        <v>0</v>
      </c>
      <c r="AI30" s="174">
        <f>231.3+1.8+1676</f>
        <v>1909.1</v>
      </c>
      <c r="AJ30" s="53"/>
      <c r="AK30" s="174">
        <f t="shared" si="3"/>
        <v>9483.91</v>
      </c>
      <c r="AL30" s="48"/>
      <c r="AM30" s="48"/>
      <c r="AN30" s="48">
        <v>6</v>
      </c>
      <c r="AO30" s="48"/>
      <c r="AP30" s="48"/>
      <c r="AQ30" s="48">
        <v>2</v>
      </c>
      <c r="AR30" s="48">
        <v>6210</v>
      </c>
      <c r="AS30" s="48">
        <v>1376</v>
      </c>
      <c r="AT30" s="48">
        <v>740</v>
      </c>
      <c r="AU30" s="48">
        <v>704</v>
      </c>
      <c r="AV30" s="48">
        <v>180</v>
      </c>
      <c r="AW30" s="48">
        <f t="shared" si="22"/>
        <v>5958</v>
      </c>
      <c r="AX30" s="48"/>
      <c r="AY30" s="48">
        <v>5958</v>
      </c>
      <c r="AZ30" s="48"/>
      <c r="BA30" s="48">
        <v>189</v>
      </c>
      <c r="BB30" s="48">
        <v>2732</v>
      </c>
      <c r="BC30" s="48">
        <v>2732</v>
      </c>
      <c r="BD30" s="48">
        <v>30</v>
      </c>
      <c r="BE30" s="48">
        <v>12</v>
      </c>
      <c r="BF30" s="48">
        <v>381</v>
      </c>
      <c r="BG30" s="48">
        <v>999</v>
      </c>
      <c r="BH30" s="48"/>
      <c r="BI30" s="48">
        <v>7781</v>
      </c>
      <c r="BJ30" s="48">
        <v>228</v>
      </c>
      <c r="BK30" s="48"/>
      <c r="BL30" s="48">
        <f t="shared" si="26"/>
        <v>1</v>
      </c>
      <c r="BM30" s="48">
        <f t="shared" si="27"/>
        <v>7574.81</v>
      </c>
      <c r="BN30" s="48">
        <f t="shared" si="27"/>
        <v>4428.92</v>
      </c>
      <c r="BO30" s="48"/>
      <c r="BP30" s="48"/>
      <c r="BQ30" s="48"/>
      <c r="BR30" s="48"/>
      <c r="BS30" s="48"/>
      <c r="BT30" s="48"/>
      <c r="BU30" s="48"/>
      <c r="BV30" s="48">
        <v>4</v>
      </c>
      <c r="BW30" s="48">
        <f t="shared" si="28"/>
        <v>2732</v>
      </c>
      <c r="BX30" s="48">
        <v>7554</v>
      </c>
      <c r="BY30" s="48"/>
      <c r="BZ30" s="48">
        <f t="shared" si="29"/>
        <v>6210</v>
      </c>
      <c r="CA30" s="172">
        <v>864.5</v>
      </c>
      <c r="CB30" s="172">
        <v>864.5</v>
      </c>
      <c r="CC30" s="14">
        <v>6788</v>
      </c>
      <c r="CD30" s="14">
        <f t="shared" si="5"/>
        <v>3876</v>
      </c>
      <c r="CE30" s="54" t="str">
        <f t="shared" si="24"/>
        <v>0</v>
      </c>
      <c r="CF30" s="55">
        <f t="shared" si="7"/>
        <v>0</v>
      </c>
      <c r="CG30" s="54">
        <f t="shared" si="8"/>
        <v>1</v>
      </c>
      <c r="CH30" s="55">
        <f t="shared" si="9"/>
        <v>5958</v>
      </c>
      <c r="CI30" s="55">
        <f t="shared" si="19"/>
        <v>1</v>
      </c>
      <c r="CJ30" s="55">
        <f t="shared" si="19"/>
        <v>5958</v>
      </c>
      <c r="CK30" s="41">
        <v>36</v>
      </c>
      <c r="CL30" s="57" t="str">
        <f t="shared" si="10"/>
        <v>0</v>
      </c>
      <c r="CM30" s="57" t="str">
        <f t="shared" si="11"/>
        <v>0</v>
      </c>
      <c r="CN30" s="167">
        <f t="shared" si="12"/>
        <v>11.724254469749077</v>
      </c>
      <c r="CO30" s="178" t="str">
        <f t="shared" si="13"/>
        <v>0</v>
      </c>
      <c r="CP30" s="178" t="str">
        <f t="shared" si="20"/>
        <v>0</v>
      </c>
      <c r="CQ30" s="167">
        <f t="shared" si="21"/>
        <v>9.3641757460794128</v>
      </c>
      <c r="CR30" s="185">
        <v>1</v>
      </c>
      <c r="CS30" s="185">
        <v>0</v>
      </c>
      <c r="CT30" s="185">
        <v>0</v>
      </c>
      <c r="CU30" s="185">
        <v>0</v>
      </c>
      <c r="CV30" s="185">
        <v>2</v>
      </c>
      <c r="CW30" s="185">
        <v>0</v>
      </c>
      <c r="CX30" s="185">
        <v>0</v>
      </c>
      <c r="CY30" s="185">
        <v>0</v>
      </c>
      <c r="CZ30" s="185">
        <v>0</v>
      </c>
      <c r="DA30" s="186">
        <v>103</v>
      </c>
      <c r="DB30" s="187">
        <v>95</v>
      </c>
      <c r="DC30" s="188">
        <v>8</v>
      </c>
      <c r="DD30" s="185">
        <v>83</v>
      </c>
      <c r="DE30" s="185">
        <v>29</v>
      </c>
      <c r="DF30" s="189">
        <v>156</v>
      </c>
      <c r="DG30" s="185">
        <v>37</v>
      </c>
      <c r="DH30" s="185">
        <v>29</v>
      </c>
      <c r="DI30" s="189">
        <v>156</v>
      </c>
      <c r="DJ30" s="185">
        <v>41</v>
      </c>
      <c r="DK30" s="185">
        <v>7</v>
      </c>
      <c r="DL30" s="185">
        <v>1</v>
      </c>
      <c r="DM30" s="188">
        <v>9</v>
      </c>
      <c r="DN30" s="185">
        <v>2</v>
      </c>
      <c r="DO30" s="185">
        <v>1</v>
      </c>
      <c r="DP30" s="188">
        <v>9</v>
      </c>
      <c r="DQ30" s="185">
        <v>22</v>
      </c>
      <c r="DR30" s="184">
        <f t="shared" si="14"/>
        <v>103</v>
      </c>
      <c r="DS30" s="185">
        <v>20</v>
      </c>
    </row>
    <row r="31" spans="1:123">
      <c r="A31" s="43" t="s">
        <v>96</v>
      </c>
      <c r="B31" s="44">
        <v>25</v>
      </c>
      <c r="C31" s="13" t="s">
        <v>88</v>
      </c>
      <c r="D31" s="45">
        <v>1954</v>
      </c>
      <c r="E31" s="46"/>
      <c r="F31" s="46" t="s">
        <v>29</v>
      </c>
      <c r="G31" s="47">
        <v>1</v>
      </c>
      <c r="H31" s="46">
        <v>5</v>
      </c>
      <c r="I31" s="46" t="s">
        <v>100</v>
      </c>
      <c r="J31" s="48">
        <v>51607</v>
      </c>
      <c r="K31" s="48">
        <v>2662</v>
      </c>
      <c r="L31" s="48">
        <v>3290</v>
      </c>
      <c r="M31" s="48">
        <v>0</v>
      </c>
      <c r="N31" s="48">
        <v>110</v>
      </c>
      <c r="O31" s="48">
        <v>243</v>
      </c>
      <c r="P31" s="48">
        <v>119</v>
      </c>
      <c r="Q31" s="49">
        <v>187</v>
      </c>
      <c r="R31" s="61">
        <v>7620.43</v>
      </c>
      <c r="S31" s="52">
        <v>4189.5</v>
      </c>
      <c r="T31" s="18">
        <f t="shared" si="0"/>
        <v>100</v>
      </c>
      <c r="U31" s="215">
        <f t="shared" si="15"/>
        <v>0.91887596894138523</v>
      </c>
      <c r="V31" s="50">
        <f t="shared" si="1"/>
        <v>7002.2300000000005</v>
      </c>
      <c r="W31" s="50">
        <f t="shared" si="2"/>
        <v>3858.4</v>
      </c>
      <c r="X31" s="22">
        <v>10</v>
      </c>
      <c r="Y31" s="215">
        <f t="shared" si="16"/>
        <v>8.1124031058614807E-2</v>
      </c>
      <c r="Z31" s="170">
        <v>618.20000000000005</v>
      </c>
      <c r="AA31" s="170">
        <v>331.1</v>
      </c>
      <c r="AB31" s="51"/>
      <c r="AC31" s="51"/>
      <c r="AD31" s="51"/>
      <c r="AE31" s="170">
        <f t="shared" si="17"/>
        <v>2355.6000000000004</v>
      </c>
      <c r="AF31" s="174">
        <f t="shared" si="18"/>
        <v>1507.4</v>
      </c>
      <c r="AG31" s="174"/>
      <c r="AH31" s="174">
        <f>2116-226.1-382.5</f>
        <v>1507.4</v>
      </c>
      <c r="AI31" s="174">
        <f>239.6+226.1+382.5</f>
        <v>848.2</v>
      </c>
      <c r="AJ31" s="53"/>
      <c r="AK31" s="174">
        <f t="shared" si="3"/>
        <v>9976.0300000000007</v>
      </c>
      <c r="AL31" s="48"/>
      <c r="AM31" s="48"/>
      <c r="AN31" s="48">
        <v>6</v>
      </c>
      <c r="AO31" s="48"/>
      <c r="AP31" s="48"/>
      <c r="AQ31" s="48">
        <v>2</v>
      </c>
      <c r="AR31" s="48">
        <v>6227</v>
      </c>
      <c r="AS31" s="48">
        <v>1376</v>
      </c>
      <c r="AT31" s="48">
        <v>806</v>
      </c>
      <c r="AU31" s="48">
        <v>542</v>
      </c>
      <c r="AV31" s="48">
        <v>180</v>
      </c>
      <c r="AW31" s="48">
        <f t="shared" si="22"/>
        <v>5958</v>
      </c>
      <c r="AX31" s="48"/>
      <c r="AY31" s="48">
        <v>5958</v>
      </c>
      <c r="AZ31" s="48"/>
      <c r="BA31" s="48">
        <v>199</v>
      </c>
      <c r="BB31" s="48">
        <v>2197</v>
      </c>
      <c r="BC31" s="48">
        <v>2197</v>
      </c>
      <c r="BD31" s="48">
        <v>30</v>
      </c>
      <c r="BE31" s="48">
        <v>12</v>
      </c>
      <c r="BF31" s="48">
        <v>380</v>
      </c>
      <c r="BG31" s="48">
        <v>1106</v>
      </c>
      <c r="BH31" s="48"/>
      <c r="BI31" s="48">
        <v>7765</v>
      </c>
      <c r="BJ31" s="48">
        <v>228</v>
      </c>
      <c r="BK31" s="48"/>
      <c r="BL31" s="48">
        <f t="shared" si="26"/>
        <v>1</v>
      </c>
      <c r="BM31" s="48">
        <f t="shared" si="27"/>
        <v>7620.43</v>
      </c>
      <c r="BN31" s="48">
        <f t="shared" si="27"/>
        <v>4189.5</v>
      </c>
      <c r="BO31" s="48"/>
      <c r="BP31" s="48"/>
      <c r="BQ31" s="48"/>
      <c r="BR31" s="48"/>
      <c r="BS31" s="48"/>
      <c r="BT31" s="48"/>
      <c r="BU31" s="48"/>
      <c r="BV31" s="48">
        <v>5</v>
      </c>
      <c r="BW31" s="48">
        <f t="shared" si="28"/>
        <v>2197</v>
      </c>
      <c r="BX31" s="48">
        <v>7380</v>
      </c>
      <c r="BY31" s="48"/>
      <c r="BZ31" s="48">
        <f t="shared" si="29"/>
        <v>6227</v>
      </c>
      <c r="CA31" s="172">
        <v>1051.3699999999999</v>
      </c>
      <c r="CB31" s="172">
        <v>983.1</v>
      </c>
      <c r="CC31" s="14">
        <v>6582</v>
      </c>
      <c r="CD31" s="14">
        <f t="shared" si="5"/>
        <v>3920</v>
      </c>
      <c r="CE31" s="54" t="str">
        <f t="shared" si="24"/>
        <v>0</v>
      </c>
      <c r="CF31" s="55">
        <f t="shared" si="7"/>
        <v>0</v>
      </c>
      <c r="CG31" s="54">
        <f t="shared" si="8"/>
        <v>1</v>
      </c>
      <c r="CH31" s="55">
        <f t="shared" si="9"/>
        <v>5958</v>
      </c>
      <c r="CI31" s="55">
        <f t="shared" si="19"/>
        <v>1</v>
      </c>
      <c r="CJ31" s="55">
        <f t="shared" si="19"/>
        <v>5958</v>
      </c>
      <c r="CK31" s="41">
        <v>56</v>
      </c>
      <c r="CL31" s="57" t="str">
        <f t="shared" si="10"/>
        <v>0</v>
      </c>
      <c r="CM31" s="57" t="str">
        <f t="shared" si="11"/>
        <v>0</v>
      </c>
      <c r="CN31" s="167">
        <f t="shared" si="12"/>
        <v>8.1124031058614801</v>
      </c>
      <c r="CO31" s="178" t="str">
        <f t="shared" si="13"/>
        <v>0</v>
      </c>
      <c r="CP31" s="178" t="str">
        <f t="shared" si="20"/>
        <v>0</v>
      </c>
      <c r="CQ31" s="167">
        <f t="shared" si="21"/>
        <v>21.307073054110706</v>
      </c>
      <c r="CR31" s="185">
        <v>1</v>
      </c>
      <c r="CS31" s="185">
        <v>0</v>
      </c>
      <c r="CT31" s="185">
        <v>0</v>
      </c>
      <c r="CU31" s="185">
        <v>0</v>
      </c>
      <c r="CV31" s="185">
        <v>2</v>
      </c>
      <c r="CW31" s="185">
        <v>0</v>
      </c>
      <c r="CX31" s="185">
        <v>0</v>
      </c>
      <c r="CY31" s="185">
        <v>0</v>
      </c>
      <c r="CZ31" s="185">
        <v>0</v>
      </c>
      <c r="DA31" s="186">
        <v>110</v>
      </c>
      <c r="DB31" s="187">
        <v>101</v>
      </c>
      <c r="DC31" s="188">
        <v>9</v>
      </c>
      <c r="DD31" s="185">
        <v>98</v>
      </c>
      <c r="DE31" s="185">
        <v>33</v>
      </c>
      <c r="DF31" s="189">
        <v>151</v>
      </c>
      <c r="DG31" s="185">
        <v>37</v>
      </c>
      <c r="DH31" s="185">
        <v>33</v>
      </c>
      <c r="DI31" s="189">
        <v>151</v>
      </c>
      <c r="DJ31" s="185">
        <v>43</v>
      </c>
      <c r="DK31" s="185">
        <v>7</v>
      </c>
      <c r="DL31" s="185">
        <v>1</v>
      </c>
      <c r="DM31" s="188">
        <v>3</v>
      </c>
      <c r="DN31" s="185">
        <v>1</v>
      </c>
      <c r="DO31" s="185">
        <v>1</v>
      </c>
      <c r="DP31" s="188">
        <v>3</v>
      </c>
      <c r="DQ31" s="185">
        <v>1</v>
      </c>
      <c r="DR31" s="184">
        <f t="shared" si="14"/>
        <v>110</v>
      </c>
      <c r="DS31" s="185">
        <v>32</v>
      </c>
    </row>
    <row r="32" spans="1:123">
      <c r="A32" s="43" t="s">
        <v>96</v>
      </c>
      <c r="B32" s="44">
        <v>26</v>
      </c>
      <c r="C32" s="13" t="s">
        <v>89</v>
      </c>
      <c r="D32" s="45">
        <v>1956</v>
      </c>
      <c r="E32" s="46"/>
      <c r="F32" s="46" t="s">
        <v>29</v>
      </c>
      <c r="G32" s="47">
        <v>1</v>
      </c>
      <c r="H32" s="46">
        <v>6</v>
      </c>
      <c r="I32" s="46" t="s">
        <v>100</v>
      </c>
      <c r="J32" s="48">
        <v>56561</v>
      </c>
      <c r="K32" s="48">
        <v>3054</v>
      </c>
      <c r="L32" s="48">
        <v>3665</v>
      </c>
      <c r="M32" s="48"/>
      <c r="N32" s="48">
        <v>129</v>
      </c>
      <c r="O32" s="48">
        <v>325</v>
      </c>
      <c r="P32" s="48">
        <v>136</v>
      </c>
      <c r="Q32" s="49">
        <v>288</v>
      </c>
      <c r="R32" s="61">
        <v>9326.7000000000007</v>
      </c>
      <c r="S32" s="52">
        <v>5589.9</v>
      </c>
      <c r="T32" s="18">
        <f t="shared" si="0"/>
        <v>120</v>
      </c>
      <c r="U32" s="215">
        <f t="shared" si="15"/>
        <v>0.93249488028992034</v>
      </c>
      <c r="V32" s="50">
        <f t="shared" si="1"/>
        <v>8697.1</v>
      </c>
      <c r="W32" s="50">
        <f t="shared" si="2"/>
        <v>5221</v>
      </c>
      <c r="X32" s="22">
        <v>9</v>
      </c>
      <c r="Y32" s="215">
        <f t="shared" si="16"/>
        <v>6.7505119710079664E-2</v>
      </c>
      <c r="Z32" s="170">
        <v>629.6</v>
      </c>
      <c r="AA32" s="170">
        <v>368.9</v>
      </c>
      <c r="AB32" s="51"/>
      <c r="AC32" s="51"/>
      <c r="AD32" s="51"/>
      <c r="AE32" s="170">
        <f t="shared" si="17"/>
        <v>1904.6399999999999</v>
      </c>
      <c r="AF32" s="61">
        <f t="shared" si="18"/>
        <v>1786.04</v>
      </c>
      <c r="AG32" s="174"/>
      <c r="AH32" s="61">
        <v>1786.04</v>
      </c>
      <c r="AI32" s="174">
        <v>118.6</v>
      </c>
      <c r="AJ32" s="53"/>
      <c r="AK32" s="174">
        <f t="shared" si="3"/>
        <v>11231.34</v>
      </c>
      <c r="AL32" s="48"/>
      <c r="AM32" s="48"/>
      <c r="AN32" s="48">
        <v>8</v>
      </c>
      <c r="AO32" s="48"/>
      <c r="AP32" s="48"/>
      <c r="AQ32" s="48">
        <v>2</v>
      </c>
      <c r="AR32" s="48">
        <v>9217</v>
      </c>
      <c r="AS32" s="48">
        <v>1500</v>
      </c>
      <c r="AT32" s="48">
        <v>520</v>
      </c>
      <c r="AU32" s="48">
        <v>534</v>
      </c>
      <c r="AV32" s="48">
        <v>240</v>
      </c>
      <c r="AW32" s="48">
        <f t="shared" si="22"/>
        <v>9120</v>
      </c>
      <c r="AX32" s="48"/>
      <c r="AY32" s="48">
        <v>9120</v>
      </c>
      <c r="AZ32" s="48"/>
      <c r="BA32" s="48">
        <v>205</v>
      </c>
      <c r="BB32" s="48">
        <v>3029</v>
      </c>
      <c r="BC32" s="48">
        <v>3029</v>
      </c>
      <c r="BD32" s="48">
        <v>40</v>
      </c>
      <c r="BE32" s="48">
        <v>16</v>
      </c>
      <c r="BF32" s="48">
        <v>210</v>
      </c>
      <c r="BG32" s="48">
        <v>1262</v>
      </c>
      <c r="BH32" s="48"/>
      <c r="BI32" s="48">
        <v>9291</v>
      </c>
      <c r="BJ32" s="48">
        <v>304</v>
      </c>
      <c r="BK32" s="48"/>
      <c r="BL32" s="48">
        <f t="shared" si="26"/>
        <v>1</v>
      </c>
      <c r="BM32" s="48">
        <f t="shared" si="27"/>
        <v>9326.7000000000007</v>
      </c>
      <c r="BN32" s="48">
        <f t="shared" si="27"/>
        <v>5589.9</v>
      </c>
      <c r="BO32" s="48"/>
      <c r="BP32" s="48"/>
      <c r="BQ32" s="48"/>
      <c r="BR32" s="48"/>
      <c r="BS32" s="48"/>
      <c r="BT32" s="48"/>
      <c r="BU32" s="48"/>
      <c r="BV32" s="48">
        <v>5</v>
      </c>
      <c r="BW32" s="48">
        <f t="shared" si="28"/>
        <v>3029</v>
      </c>
      <c r="BX32" s="48">
        <v>9582</v>
      </c>
      <c r="BY32" s="48"/>
      <c r="BZ32" s="48">
        <f t="shared" si="29"/>
        <v>9217</v>
      </c>
      <c r="CA32" s="172">
        <v>1108.5</v>
      </c>
      <c r="CB32" s="172">
        <v>1061</v>
      </c>
      <c r="CC32" s="14">
        <v>7807</v>
      </c>
      <c r="CD32" s="14">
        <f t="shared" si="5"/>
        <v>4753</v>
      </c>
      <c r="CE32" s="54" t="str">
        <f t="shared" si="24"/>
        <v>0</v>
      </c>
      <c r="CF32" s="55">
        <f t="shared" si="7"/>
        <v>0</v>
      </c>
      <c r="CG32" s="54">
        <f t="shared" si="8"/>
        <v>1</v>
      </c>
      <c r="CH32" s="55">
        <f t="shared" si="9"/>
        <v>9120</v>
      </c>
      <c r="CI32" s="55">
        <f t="shared" si="19"/>
        <v>1</v>
      </c>
      <c r="CJ32" s="55">
        <f t="shared" si="19"/>
        <v>9120</v>
      </c>
      <c r="CK32" s="41">
        <v>52</v>
      </c>
      <c r="CL32" s="57" t="str">
        <f t="shared" si="10"/>
        <v>0</v>
      </c>
      <c r="CM32" s="57" t="str">
        <f t="shared" si="11"/>
        <v>0</v>
      </c>
      <c r="CN32" s="167">
        <f t="shared" si="12"/>
        <v>6.7505119710079668</v>
      </c>
      <c r="CO32" s="178" t="str">
        <f t="shared" si="13"/>
        <v>0</v>
      </c>
      <c r="CP32" s="178" t="str">
        <f t="shared" si="20"/>
        <v>0</v>
      </c>
      <c r="CQ32" s="167">
        <f t="shared" si="21"/>
        <v>21.508030208327767</v>
      </c>
      <c r="CR32" s="185">
        <v>1</v>
      </c>
      <c r="CS32" s="185">
        <v>0</v>
      </c>
      <c r="CT32" s="185">
        <v>0</v>
      </c>
      <c r="CU32" s="185">
        <v>0</v>
      </c>
      <c r="CV32" s="185">
        <v>4</v>
      </c>
      <c r="CW32" s="185">
        <v>0</v>
      </c>
      <c r="CX32" s="185">
        <v>0</v>
      </c>
      <c r="CY32" s="185">
        <v>0</v>
      </c>
      <c r="CZ32" s="185">
        <v>0</v>
      </c>
      <c r="DA32" s="186">
        <v>129</v>
      </c>
      <c r="DB32" s="187">
        <v>123</v>
      </c>
      <c r="DC32" s="188">
        <v>6</v>
      </c>
      <c r="DD32" s="185">
        <v>114</v>
      </c>
      <c r="DE32" s="185">
        <v>46</v>
      </c>
      <c r="DF32" s="189">
        <v>180</v>
      </c>
      <c r="DG32" s="185">
        <v>47</v>
      </c>
      <c r="DH32" s="185">
        <v>46</v>
      </c>
      <c r="DI32" s="189">
        <v>180</v>
      </c>
      <c r="DJ32" s="185">
        <v>47</v>
      </c>
      <c r="DK32" s="185">
        <v>5</v>
      </c>
      <c r="DL32" s="185">
        <v>4</v>
      </c>
      <c r="DM32" s="188">
        <v>9</v>
      </c>
      <c r="DN32" s="185">
        <v>4</v>
      </c>
      <c r="DO32" s="185">
        <v>4</v>
      </c>
      <c r="DP32" s="188">
        <v>9</v>
      </c>
      <c r="DQ32" s="185">
        <v>4</v>
      </c>
      <c r="DR32" s="184">
        <f t="shared" si="14"/>
        <v>129</v>
      </c>
      <c r="DS32" s="185">
        <v>40</v>
      </c>
    </row>
    <row r="33" spans="1:123">
      <c r="A33" s="43" t="s">
        <v>96</v>
      </c>
      <c r="B33" s="44">
        <v>27</v>
      </c>
      <c r="C33" s="13" t="s">
        <v>90</v>
      </c>
      <c r="D33" s="45">
        <v>1957</v>
      </c>
      <c r="E33" s="46"/>
      <c r="F33" s="46" t="s">
        <v>29</v>
      </c>
      <c r="G33" s="47">
        <v>1</v>
      </c>
      <c r="H33" s="46">
        <v>5</v>
      </c>
      <c r="I33" s="46" t="s">
        <v>100</v>
      </c>
      <c r="J33" s="48">
        <v>69591</v>
      </c>
      <c r="K33" s="48">
        <v>4092</v>
      </c>
      <c r="L33" s="48">
        <v>4789</v>
      </c>
      <c r="M33" s="48"/>
      <c r="N33" s="48">
        <v>180</v>
      </c>
      <c r="O33" s="48">
        <v>435</v>
      </c>
      <c r="P33" s="48">
        <v>193</v>
      </c>
      <c r="Q33" s="49">
        <v>313</v>
      </c>
      <c r="R33" s="61">
        <v>12314.66</v>
      </c>
      <c r="S33" s="52">
        <v>7267.87</v>
      </c>
      <c r="T33" s="18">
        <f t="shared" si="0"/>
        <v>167</v>
      </c>
      <c r="U33" s="215">
        <f t="shared" si="15"/>
        <v>0.92591756491856059</v>
      </c>
      <c r="V33" s="50">
        <f t="shared" si="1"/>
        <v>11402.36</v>
      </c>
      <c r="W33" s="50">
        <f t="shared" si="2"/>
        <v>6734.37</v>
      </c>
      <c r="X33" s="22">
        <v>13</v>
      </c>
      <c r="Y33" s="215">
        <f t="shared" si="16"/>
        <v>7.4082435081439524E-2</v>
      </c>
      <c r="Z33" s="170">
        <v>912.3</v>
      </c>
      <c r="AA33" s="170">
        <v>533.5</v>
      </c>
      <c r="AB33" s="51"/>
      <c r="AC33" s="51"/>
      <c r="AD33" s="51"/>
      <c r="AE33" s="170">
        <f t="shared" si="17"/>
        <v>2092.1</v>
      </c>
      <c r="AF33" s="61">
        <f t="shared" si="18"/>
        <v>62.599999999999966</v>
      </c>
      <c r="AG33" s="174"/>
      <c r="AH33" s="61">
        <f>188.5+99.4-225.3</f>
        <v>62.599999999999966</v>
      </c>
      <c r="AI33" s="174">
        <f>1903.6-99.4+225.3</f>
        <v>2029.4999999999998</v>
      </c>
      <c r="AJ33" s="53"/>
      <c r="AK33" s="174">
        <f t="shared" si="3"/>
        <v>14406.76</v>
      </c>
      <c r="AL33" s="48"/>
      <c r="AM33" s="48"/>
      <c r="AN33" s="48">
        <v>11</v>
      </c>
      <c r="AO33" s="48"/>
      <c r="AP33" s="48"/>
      <c r="AQ33" s="48">
        <v>2</v>
      </c>
      <c r="AR33" s="48">
        <v>9236</v>
      </c>
      <c r="AS33" s="48">
        <v>1500</v>
      </c>
      <c r="AT33" s="48">
        <v>607</v>
      </c>
      <c r="AU33" s="48">
        <v>535</v>
      </c>
      <c r="AV33" s="48">
        <v>330</v>
      </c>
      <c r="AW33" s="48">
        <f t="shared" si="22"/>
        <v>10826</v>
      </c>
      <c r="AX33" s="48"/>
      <c r="AY33" s="48">
        <f>10923-30-30-37</f>
        <v>10826</v>
      </c>
      <c r="AZ33" s="48"/>
      <c r="BA33" s="48">
        <v>263</v>
      </c>
      <c r="BB33" s="48">
        <v>3990</v>
      </c>
      <c r="BC33" s="48">
        <v>3990</v>
      </c>
      <c r="BD33" s="48">
        <v>55</v>
      </c>
      <c r="BE33" s="48">
        <v>22</v>
      </c>
      <c r="BF33" s="48">
        <f>647-3-3-4</f>
        <v>637</v>
      </c>
      <c r="BG33" s="48">
        <f>1793-3</f>
        <v>1790</v>
      </c>
      <c r="BH33" s="48"/>
      <c r="BI33" s="48">
        <f>12452-120-120-150</f>
        <v>12062</v>
      </c>
      <c r="BJ33" s="48">
        <v>418</v>
      </c>
      <c r="BK33" s="48"/>
      <c r="BL33" s="48">
        <f t="shared" si="26"/>
        <v>1</v>
      </c>
      <c r="BM33" s="48">
        <f t="shared" si="27"/>
        <v>12314.66</v>
      </c>
      <c r="BN33" s="48">
        <f t="shared" si="27"/>
        <v>7267.87</v>
      </c>
      <c r="BO33" s="48"/>
      <c r="BP33" s="48"/>
      <c r="BQ33" s="48"/>
      <c r="BR33" s="48"/>
      <c r="BS33" s="48"/>
      <c r="BT33" s="48"/>
      <c r="BU33" s="48"/>
      <c r="BV33" s="48">
        <v>7</v>
      </c>
      <c r="BW33" s="48">
        <f t="shared" si="28"/>
        <v>3990</v>
      </c>
      <c r="BX33" s="48">
        <v>10510</v>
      </c>
      <c r="BY33" s="48"/>
      <c r="BZ33" s="48">
        <f t="shared" si="29"/>
        <v>9236</v>
      </c>
      <c r="CA33" s="172">
        <v>1350.5000000000002</v>
      </c>
      <c r="CB33" s="172">
        <v>1317.5</v>
      </c>
      <c r="CC33" s="14">
        <v>10875</v>
      </c>
      <c r="CD33" s="14">
        <f t="shared" si="5"/>
        <v>6783</v>
      </c>
      <c r="CE33" s="54" t="str">
        <f t="shared" si="24"/>
        <v>0</v>
      </c>
      <c r="CF33" s="55">
        <f t="shared" si="7"/>
        <v>0</v>
      </c>
      <c r="CG33" s="54">
        <f t="shared" si="8"/>
        <v>1</v>
      </c>
      <c r="CH33" s="55">
        <f t="shared" si="9"/>
        <v>10826</v>
      </c>
      <c r="CI33" s="55">
        <f t="shared" si="19"/>
        <v>1</v>
      </c>
      <c r="CJ33" s="55">
        <f t="shared" si="19"/>
        <v>10826</v>
      </c>
      <c r="CK33" s="41">
        <v>54</v>
      </c>
      <c r="CL33" s="57" t="str">
        <f t="shared" si="10"/>
        <v>0</v>
      </c>
      <c r="CM33" s="57" t="str">
        <f t="shared" si="11"/>
        <v>0</v>
      </c>
      <c r="CN33" s="167">
        <f t="shared" si="12"/>
        <v>7.4082435081439524</v>
      </c>
      <c r="CO33" s="178" t="str">
        <f t="shared" si="13"/>
        <v>0</v>
      </c>
      <c r="CP33" s="178" t="str">
        <f t="shared" si="20"/>
        <v>0</v>
      </c>
      <c r="CQ33" s="167">
        <f t="shared" si="21"/>
        <v>6.7669621760895566</v>
      </c>
      <c r="CR33" s="185">
        <v>1</v>
      </c>
      <c r="CS33" s="185">
        <v>0</v>
      </c>
      <c r="CT33" s="185">
        <v>0</v>
      </c>
      <c r="CU33" s="185">
        <v>0</v>
      </c>
      <c r="CV33" s="185">
        <v>5</v>
      </c>
      <c r="CW33" s="185">
        <v>0</v>
      </c>
      <c r="CX33" s="185">
        <v>0</v>
      </c>
      <c r="CY33" s="185">
        <v>0</v>
      </c>
      <c r="CZ33" s="185">
        <v>0</v>
      </c>
      <c r="DA33" s="186">
        <v>180</v>
      </c>
      <c r="DB33" s="187">
        <v>165</v>
      </c>
      <c r="DC33" s="188">
        <v>15</v>
      </c>
      <c r="DD33" s="185">
        <v>150</v>
      </c>
      <c r="DE33" s="185">
        <v>54</v>
      </c>
      <c r="DF33" s="189">
        <v>241</v>
      </c>
      <c r="DG33" s="185">
        <v>61</v>
      </c>
      <c r="DH33" s="185">
        <v>54</v>
      </c>
      <c r="DI33" s="189">
        <v>241</v>
      </c>
      <c r="DJ33" s="185">
        <v>64</v>
      </c>
      <c r="DK33" s="185">
        <v>14</v>
      </c>
      <c r="DL33" s="185">
        <v>4</v>
      </c>
      <c r="DM33" s="188">
        <v>10</v>
      </c>
      <c r="DN33" s="185">
        <v>4</v>
      </c>
      <c r="DO33" s="185">
        <v>4</v>
      </c>
      <c r="DP33" s="188">
        <v>10</v>
      </c>
      <c r="DQ33" s="185">
        <v>4</v>
      </c>
      <c r="DR33" s="184">
        <f t="shared" si="14"/>
        <v>180</v>
      </c>
      <c r="DS33" s="185">
        <v>28</v>
      </c>
    </row>
    <row r="34" spans="1:123">
      <c r="A34" s="43" t="s">
        <v>96</v>
      </c>
      <c r="B34" s="44">
        <v>28</v>
      </c>
      <c r="C34" s="13" t="s">
        <v>91</v>
      </c>
      <c r="D34" s="45">
        <v>1956</v>
      </c>
      <c r="E34" s="46"/>
      <c r="F34" s="46" t="s">
        <v>29</v>
      </c>
      <c r="G34" s="47">
        <v>1</v>
      </c>
      <c r="H34" s="46">
        <v>5</v>
      </c>
      <c r="I34" s="46" t="s">
        <v>100</v>
      </c>
      <c r="J34" s="48">
        <v>12150</v>
      </c>
      <c r="K34" s="48">
        <v>748</v>
      </c>
      <c r="L34" s="48">
        <v>900</v>
      </c>
      <c r="M34" s="48"/>
      <c r="N34" s="48">
        <v>32</v>
      </c>
      <c r="O34" s="48">
        <v>80</v>
      </c>
      <c r="P34" s="48">
        <v>34</v>
      </c>
      <c r="Q34" s="49">
        <v>69</v>
      </c>
      <c r="R34" s="61">
        <v>2096</v>
      </c>
      <c r="S34" s="52">
        <v>1283.3</v>
      </c>
      <c r="T34" s="18">
        <f t="shared" si="0"/>
        <v>31</v>
      </c>
      <c r="U34" s="215">
        <f t="shared" si="15"/>
        <v>0.96421755725190839</v>
      </c>
      <c r="V34" s="50">
        <f t="shared" si="1"/>
        <v>2021</v>
      </c>
      <c r="W34" s="50">
        <f t="shared" si="2"/>
        <v>1235.7</v>
      </c>
      <c r="X34" s="22">
        <v>1</v>
      </c>
      <c r="Y34" s="215">
        <f t="shared" si="16"/>
        <v>3.57824427480916E-2</v>
      </c>
      <c r="Z34" s="170">
        <v>75</v>
      </c>
      <c r="AA34" s="170">
        <v>47.6</v>
      </c>
      <c r="AB34" s="51"/>
      <c r="AC34" s="51"/>
      <c r="AD34" s="51"/>
      <c r="AE34" s="170">
        <f t="shared" si="17"/>
        <v>530.1</v>
      </c>
      <c r="AF34" s="175">
        <f t="shared" si="18"/>
        <v>0</v>
      </c>
      <c r="AG34" s="174"/>
      <c r="AH34" s="175"/>
      <c r="AI34" s="174">
        <v>530.1</v>
      </c>
      <c r="AJ34" s="53"/>
      <c r="AK34" s="174">
        <f t="shared" si="3"/>
        <v>2626.1</v>
      </c>
      <c r="AL34" s="48"/>
      <c r="AM34" s="48"/>
      <c r="AN34" s="48">
        <v>2</v>
      </c>
      <c r="AO34" s="48"/>
      <c r="AP34" s="48"/>
      <c r="AQ34" s="48">
        <v>1</v>
      </c>
      <c r="AR34" s="48">
        <v>2146</v>
      </c>
      <c r="AS34" s="48">
        <v>585</v>
      </c>
      <c r="AT34" s="48">
        <v>192</v>
      </c>
      <c r="AU34" s="48">
        <v>125</v>
      </c>
      <c r="AV34" s="48">
        <v>60</v>
      </c>
      <c r="AW34" s="48">
        <f t="shared" si="22"/>
        <v>1986</v>
      </c>
      <c r="AX34" s="48"/>
      <c r="AY34" s="48">
        <v>1986</v>
      </c>
      <c r="AZ34" s="48"/>
      <c r="BA34" s="48">
        <v>46</v>
      </c>
      <c r="BB34" s="48">
        <v>730</v>
      </c>
      <c r="BC34" s="48">
        <v>730</v>
      </c>
      <c r="BD34" s="48">
        <v>10</v>
      </c>
      <c r="BE34" s="48">
        <v>4</v>
      </c>
      <c r="BF34" s="48">
        <v>112</v>
      </c>
      <c r="BG34" s="48">
        <v>304</v>
      </c>
      <c r="BH34" s="48"/>
      <c r="BI34" s="48">
        <v>2304</v>
      </c>
      <c r="BJ34" s="48">
        <v>76</v>
      </c>
      <c r="BK34" s="48"/>
      <c r="BL34" s="48">
        <f t="shared" si="26"/>
        <v>1</v>
      </c>
      <c r="BM34" s="48">
        <f t="shared" si="27"/>
        <v>2096</v>
      </c>
      <c r="BN34" s="48">
        <f t="shared" si="27"/>
        <v>1283.3</v>
      </c>
      <c r="BO34" s="48"/>
      <c r="BP34" s="48"/>
      <c r="BQ34" s="48"/>
      <c r="BR34" s="48"/>
      <c r="BS34" s="48"/>
      <c r="BT34" s="48"/>
      <c r="BU34" s="48"/>
      <c r="BV34" s="48">
        <v>1</v>
      </c>
      <c r="BW34" s="48">
        <f t="shared" si="28"/>
        <v>730</v>
      </c>
      <c r="BX34" s="48">
        <v>2620</v>
      </c>
      <c r="BY34" s="48"/>
      <c r="BZ34" s="48">
        <f t="shared" si="29"/>
        <v>2146</v>
      </c>
      <c r="CA34" s="172">
        <v>229.19999999999996</v>
      </c>
      <c r="CB34" s="172">
        <v>221.1</v>
      </c>
      <c r="CC34" s="14">
        <v>1769</v>
      </c>
      <c r="CD34" s="14">
        <f t="shared" si="5"/>
        <v>1021</v>
      </c>
      <c r="CE34" s="54" t="str">
        <f t="shared" si="24"/>
        <v>0</v>
      </c>
      <c r="CF34" s="55">
        <f t="shared" si="7"/>
        <v>0</v>
      </c>
      <c r="CG34" s="54">
        <f t="shared" si="8"/>
        <v>1</v>
      </c>
      <c r="CH34" s="55">
        <f t="shared" si="9"/>
        <v>1986</v>
      </c>
      <c r="CI34" s="55">
        <f t="shared" si="19"/>
        <v>1</v>
      </c>
      <c r="CJ34" s="55">
        <f t="shared" si="19"/>
        <v>1986</v>
      </c>
      <c r="CK34" s="41">
        <v>54</v>
      </c>
      <c r="CL34" s="57" t="str">
        <f t="shared" si="10"/>
        <v>0</v>
      </c>
      <c r="CM34" s="57" t="str">
        <f t="shared" si="11"/>
        <v>0</v>
      </c>
      <c r="CN34" s="167">
        <f t="shared" si="12"/>
        <v>3.5782442748091601</v>
      </c>
      <c r="CO34" s="178" t="str">
        <f t="shared" si="13"/>
        <v>0</v>
      </c>
      <c r="CP34" s="178" t="str">
        <f t="shared" si="20"/>
        <v>0</v>
      </c>
      <c r="CQ34" s="167">
        <f t="shared" si="21"/>
        <v>2.8559460797380147</v>
      </c>
      <c r="CR34" s="185">
        <v>1</v>
      </c>
      <c r="CS34" s="185">
        <v>0</v>
      </c>
      <c r="CT34" s="185">
        <v>0</v>
      </c>
      <c r="CU34" s="185">
        <v>0</v>
      </c>
      <c r="CV34" s="185">
        <v>1</v>
      </c>
      <c r="CW34" s="185">
        <v>0</v>
      </c>
      <c r="CX34" s="185">
        <v>0</v>
      </c>
      <c r="CY34" s="185">
        <v>0</v>
      </c>
      <c r="CZ34" s="185">
        <v>0</v>
      </c>
      <c r="DA34" s="186">
        <v>32</v>
      </c>
      <c r="DB34" s="187">
        <v>32</v>
      </c>
      <c r="DC34" s="188">
        <v>0</v>
      </c>
      <c r="DD34" s="185">
        <v>31</v>
      </c>
      <c r="DE34" s="185">
        <v>15</v>
      </c>
      <c r="DF34" s="189">
        <v>50</v>
      </c>
      <c r="DG34" s="185">
        <v>15</v>
      </c>
      <c r="DH34" s="185">
        <v>15</v>
      </c>
      <c r="DI34" s="189">
        <v>50</v>
      </c>
      <c r="DJ34" s="185">
        <v>15</v>
      </c>
      <c r="DK34" s="185">
        <v>0</v>
      </c>
      <c r="DL34" s="185">
        <v>0</v>
      </c>
      <c r="DM34" s="188">
        <v>0</v>
      </c>
      <c r="DN34" s="185">
        <v>0</v>
      </c>
      <c r="DO34" s="185">
        <v>0</v>
      </c>
      <c r="DP34" s="188">
        <v>0</v>
      </c>
      <c r="DQ34" s="185">
        <v>0</v>
      </c>
      <c r="DR34" s="184">
        <f t="shared" si="14"/>
        <v>32</v>
      </c>
      <c r="DS34" s="185">
        <v>31</v>
      </c>
    </row>
    <row r="35" spans="1:123">
      <c r="A35" s="43" t="s">
        <v>96</v>
      </c>
      <c r="B35" s="44">
        <v>29</v>
      </c>
      <c r="C35" s="13" t="s">
        <v>92</v>
      </c>
      <c r="D35" s="45">
        <v>1957</v>
      </c>
      <c r="E35" s="46"/>
      <c r="F35" s="46" t="s">
        <v>29</v>
      </c>
      <c r="G35" s="47">
        <v>1</v>
      </c>
      <c r="H35" s="46">
        <v>5</v>
      </c>
      <c r="I35" s="46" t="s">
        <v>100</v>
      </c>
      <c r="J35" s="48">
        <v>18888</v>
      </c>
      <c r="K35" s="48">
        <v>4157</v>
      </c>
      <c r="L35" s="48">
        <v>4914</v>
      </c>
      <c r="M35" s="48"/>
      <c r="N35" s="48">
        <f>192-1</f>
        <v>191</v>
      </c>
      <c r="O35" s="48">
        <f>464-3</f>
        <v>461</v>
      </c>
      <c r="P35" s="48">
        <v>220</v>
      </c>
      <c r="Q35" s="49">
        <v>403</v>
      </c>
      <c r="R35" s="61">
        <f>12900.5-113.8</f>
        <v>12786.7</v>
      </c>
      <c r="S35" s="52">
        <v>7606.3</v>
      </c>
      <c r="T35" s="18">
        <f t="shared" si="0"/>
        <v>179</v>
      </c>
      <c r="U35" s="215">
        <f t="shared" si="15"/>
        <v>0.93660600467673438</v>
      </c>
      <c r="V35" s="50">
        <f t="shared" si="1"/>
        <v>11976.1</v>
      </c>
      <c r="W35" s="50">
        <f t="shared" si="2"/>
        <v>7120.5</v>
      </c>
      <c r="X35" s="22">
        <v>12</v>
      </c>
      <c r="Y35" s="215">
        <f t="shared" si="16"/>
        <v>6.3393995323265576E-2</v>
      </c>
      <c r="Z35" s="170">
        <v>810.6</v>
      </c>
      <c r="AA35" s="170">
        <v>485.8</v>
      </c>
      <c r="AB35" s="51"/>
      <c r="AC35" s="51"/>
      <c r="AD35" s="51"/>
      <c r="AE35" s="170">
        <f t="shared" si="17"/>
        <v>2212</v>
      </c>
      <c r="AF35" s="61">
        <f t="shared" si="18"/>
        <v>1052.4000000000001</v>
      </c>
      <c r="AG35" s="174"/>
      <c r="AH35" s="61">
        <f>1599.6-46.6-500.6</f>
        <v>1052.4000000000001</v>
      </c>
      <c r="AI35" s="174">
        <f>498.6+113.8+46.6+500.6</f>
        <v>1159.5999999999999</v>
      </c>
      <c r="AJ35" s="53"/>
      <c r="AK35" s="174">
        <f t="shared" si="3"/>
        <v>14998.7</v>
      </c>
      <c r="AL35" s="48"/>
      <c r="AM35" s="48"/>
      <c r="AN35" s="48">
        <v>11</v>
      </c>
      <c r="AO35" s="48"/>
      <c r="AP35" s="48"/>
      <c r="AQ35" s="48">
        <v>4</v>
      </c>
      <c r="AR35" s="48">
        <v>9971</v>
      </c>
      <c r="AS35" s="48">
        <v>585</v>
      </c>
      <c r="AT35" s="48">
        <v>845</v>
      </c>
      <c r="AU35" s="48">
        <v>694</v>
      </c>
      <c r="AV35" s="48">
        <v>330</v>
      </c>
      <c r="AW35" s="48">
        <f t="shared" si="22"/>
        <v>10923</v>
      </c>
      <c r="AX35" s="48"/>
      <c r="AY35" s="48">
        <v>10923</v>
      </c>
      <c r="AZ35" s="48"/>
      <c r="BA35" s="48">
        <v>249</v>
      </c>
      <c r="BB35" s="48">
        <v>3895</v>
      </c>
      <c r="BC35" s="48">
        <v>3895</v>
      </c>
      <c r="BD35" s="48">
        <v>55</v>
      </c>
      <c r="BE35" s="48">
        <v>22</v>
      </c>
      <c r="BF35" s="48">
        <v>686</v>
      </c>
      <c r="BG35" s="48">
        <v>1886</v>
      </c>
      <c r="BH35" s="48"/>
      <c r="BI35" s="48">
        <v>13595</v>
      </c>
      <c r="BJ35" s="48">
        <v>418</v>
      </c>
      <c r="BK35" s="48"/>
      <c r="BL35" s="48">
        <f t="shared" si="26"/>
        <v>1</v>
      </c>
      <c r="BM35" s="48">
        <f t="shared" si="27"/>
        <v>12786.7</v>
      </c>
      <c r="BN35" s="48">
        <f t="shared" si="27"/>
        <v>7606.3</v>
      </c>
      <c r="BO35" s="48"/>
      <c r="BP35" s="48"/>
      <c r="BQ35" s="48"/>
      <c r="BR35" s="48"/>
      <c r="BS35" s="48"/>
      <c r="BT35" s="48"/>
      <c r="BU35" s="48"/>
      <c r="BV35" s="48">
        <v>7</v>
      </c>
      <c r="BW35" s="48">
        <f t="shared" si="28"/>
        <v>3895</v>
      </c>
      <c r="BX35" s="48">
        <v>10860</v>
      </c>
      <c r="BY35" s="48"/>
      <c r="BZ35" s="48">
        <f t="shared" si="29"/>
        <v>9971</v>
      </c>
      <c r="CA35" s="172">
        <v>1427.8</v>
      </c>
      <c r="CB35" s="172">
        <v>1335.5</v>
      </c>
      <c r="CC35" s="14">
        <v>11228</v>
      </c>
      <c r="CD35" s="14">
        <f t="shared" si="5"/>
        <v>7071</v>
      </c>
      <c r="CE35" s="54" t="str">
        <f t="shared" si="24"/>
        <v>0</v>
      </c>
      <c r="CF35" s="55">
        <f t="shared" si="7"/>
        <v>0</v>
      </c>
      <c r="CG35" s="54">
        <f t="shared" si="8"/>
        <v>1</v>
      </c>
      <c r="CH35" s="55">
        <f t="shared" si="9"/>
        <v>10923</v>
      </c>
      <c r="CI35" s="55">
        <f t="shared" si="19"/>
        <v>1</v>
      </c>
      <c r="CJ35" s="55">
        <f t="shared" si="19"/>
        <v>10923</v>
      </c>
      <c r="CK35" s="41">
        <v>35</v>
      </c>
      <c r="CL35" s="57" t="str">
        <f t="shared" si="10"/>
        <v>0</v>
      </c>
      <c r="CM35" s="57" t="str">
        <f t="shared" si="11"/>
        <v>0</v>
      </c>
      <c r="CN35" s="167">
        <f t="shared" si="12"/>
        <v>6.3393995323265573</v>
      </c>
      <c r="CO35" s="178" t="str">
        <f t="shared" si="13"/>
        <v>0</v>
      </c>
      <c r="CP35" s="178" t="str">
        <f t="shared" si="20"/>
        <v>0</v>
      </c>
      <c r="CQ35" s="167">
        <f t="shared" si="21"/>
        <v>12.421076493296084</v>
      </c>
      <c r="CR35" s="185">
        <v>1</v>
      </c>
      <c r="CS35" s="185">
        <v>0</v>
      </c>
      <c r="CT35" s="185">
        <v>0</v>
      </c>
      <c r="CU35" s="185">
        <v>0</v>
      </c>
      <c r="CV35" s="185">
        <v>6</v>
      </c>
      <c r="CW35" s="185">
        <v>0</v>
      </c>
      <c r="CX35" s="185">
        <v>0</v>
      </c>
      <c r="CY35" s="185">
        <v>0</v>
      </c>
      <c r="CZ35" s="185">
        <v>0</v>
      </c>
      <c r="DA35" s="186">
        <v>191</v>
      </c>
      <c r="DB35" s="187">
        <v>183</v>
      </c>
      <c r="DC35" s="188">
        <v>8</v>
      </c>
      <c r="DD35" s="185">
        <v>168</v>
      </c>
      <c r="DE35" s="185">
        <v>58</v>
      </c>
      <c r="DF35" s="189">
        <v>277</v>
      </c>
      <c r="DG35" s="185">
        <v>59</v>
      </c>
      <c r="DH35" s="185">
        <v>58</v>
      </c>
      <c r="DI35" s="189">
        <v>277</v>
      </c>
      <c r="DJ35" s="185">
        <v>59</v>
      </c>
      <c r="DK35" s="185">
        <v>6</v>
      </c>
      <c r="DL35" s="185">
        <v>0</v>
      </c>
      <c r="DM35" s="188">
        <v>5</v>
      </c>
      <c r="DN35" s="185">
        <v>0</v>
      </c>
      <c r="DO35" s="185">
        <v>0</v>
      </c>
      <c r="DP35" s="188">
        <v>5</v>
      </c>
      <c r="DQ35" s="185">
        <v>0</v>
      </c>
      <c r="DR35" s="184">
        <f t="shared" si="14"/>
        <v>191</v>
      </c>
      <c r="DS35" s="185">
        <v>29</v>
      </c>
    </row>
    <row r="36" spans="1:123">
      <c r="A36" s="43" t="s">
        <v>96</v>
      </c>
      <c r="B36" s="44">
        <v>30</v>
      </c>
      <c r="C36" s="13" t="s">
        <v>114</v>
      </c>
      <c r="D36" s="45">
        <v>1983</v>
      </c>
      <c r="E36" s="46"/>
      <c r="F36" s="46" t="s">
        <v>28</v>
      </c>
      <c r="G36" s="47">
        <v>1</v>
      </c>
      <c r="H36" s="46">
        <v>9</v>
      </c>
      <c r="I36" s="46" t="s">
        <v>99</v>
      </c>
      <c r="J36" s="48">
        <f>19283+13445+19376</f>
        <v>52104</v>
      </c>
      <c r="K36" s="48">
        <f>743+558+748</f>
        <v>2049</v>
      </c>
      <c r="L36" s="48"/>
      <c r="M36" s="48">
        <f>700+510+705</f>
        <v>1915</v>
      </c>
      <c r="N36" s="48">
        <v>192</v>
      </c>
      <c r="O36" s="48">
        <v>459</v>
      </c>
      <c r="P36" s="48">
        <v>194</v>
      </c>
      <c r="Q36" s="49">
        <v>407</v>
      </c>
      <c r="R36" s="61">
        <v>11640.2</v>
      </c>
      <c r="S36" s="52">
        <v>7084.7</v>
      </c>
      <c r="T36" s="18">
        <f t="shared" si="0"/>
        <v>173</v>
      </c>
      <c r="U36" s="215">
        <f t="shared" si="15"/>
        <v>0.89287125650762011</v>
      </c>
      <c r="V36" s="62">
        <f t="shared" si="1"/>
        <v>10393.200000000001</v>
      </c>
      <c r="W36" s="62">
        <f t="shared" si="2"/>
        <v>6307.2</v>
      </c>
      <c r="X36" s="22">
        <v>19</v>
      </c>
      <c r="Y36" s="215">
        <f t="shared" si="16"/>
        <v>0.10712874349237984</v>
      </c>
      <c r="Z36" s="170">
        <v>1247</v>
      </c>
      <c r="AA36" s="170">
        <v>777.5</v>
      </c>
      <c r="AB36" s="51"/>
      <c r="AC36" s="51"/>
      <c r="AD36" s="51"/>
      <c r="AE36" s="170">
        <f t="shared" si="17"/>
        <v>95.5</v>
      </c>
      <c r="AF36" s="61">
        <f t="shared" si="18"/>
        <v>95.5</v>
      </c>
      <c r="AG36" s="174"/>
      <c r="AH36" s="61">
        <v>95.5</v>
      </c>
      <c r="AI36" s="174"/>
      <c r="AJ36" s="53"/>
      <c r="AK36" s="174">
        <f t="shared" si="3"/>
        <v>11735.7</v>
      </c>
      <c r="AL36" s="48"/>
      <c r="AM36" s="48">
        <v>5</v>
      </c>
      <c r="AN36" s="48">
        <v>5</v>
      </c>
      <c r="AO36" s="48">
        <v>5</v>
      </c>
      <c r="AP36" s="48"/>
      <c r="AQ36" s="48">
        <v>5</v>
      </c>
      <c r="AR36" s="48">
        <f>2130+3480+3480</f>
        <v>9090</v>
      </c>
      <c r="AS36" s="48">
        <v>583</v>
      </c>
      <c r="AT36" s="48">
        <v>660</v>
      </c>
      <c r="AU36" s="48">
        <f>106+168+262</f>
        <v>536</v>
      </c>
      <c r="AV36" s="48">
        <f>143+286+286</f>
        <v>715</v>
      </c>
      <c r="AW36" s="48">
        <f t="shared" si="22"/>
        <v>19928</v>
      </c>
      <c r="AX36" s="48"/>
      <c r="AY36" s="48">
        <f>5436+7246+7246</f>
        <v>19928</v>
      </c>
      <c r="AZ36" s="48">
        <v>1900</v>
      </c>
      <c r="BA36" s="48">
        <f>169+132+170</f>
        <v>471</v>
      </c>
      <c r="BB36" s="48">
        <f>510+701+701</f>
        <v>1912</v>
      </c>
      <c r="BC36" s="48">
        <f>510+701+701</f>
        <v>1912</v>
      </c>
      <c r="BD36" s="48">
        <f>34+17+34</f>
        <v>85</v>
      </c>
      <c r="BE36" s="48">
        <v>10</v>
      </c>
      <c r="BF36" s="48">
        <f>141+257+258</f>
        <v>656</v>
      </c>
      <c r="BG36" s="48">
        <f>459+677+678</f>
        <v>1814</v>
      </c>
      <c r="BH36" s="48"/>
      <c r="BI36" s="48">
        <f>3800+7600+7600</f>
        <v>19000</v>
      </c>
      <c r="BJ36" s="48">
        <f>1635+3270+3270</f>
        <v>8175</v>
      </c>
      <c r="BK36" s="48">
        <f>45+90+90</f>
        <v>225</v>
      </c>
      <c r="BL36" s="48"/>
      <c r="BM36" s="48"/>
      <c r="BN36" s="48"/>
      <c r="BO36" s="48">
        <f>G36</f>
        <v>1</v>
      </c>
      <c r="BP36" s="48">
        <f>R36</f>
        <v>11640.2</v>
      </c>
      <c r="BQ36" s="48">
        <f>S36</f>
        <v>7084.7</v>
      </c>
      <c r="BR36" s="48"/>
      <c r="BS36" s="48"/>
      <c r="BT36" s="48"/>
      <c r="BU36" s="48"/>
      <c r="BV36" s="48">
        <v>4</v>
      </c>
      <c r="BW36" s="48"/>
      <c r="BX36" s="48"/>
      <c r="BY36" s="48"/>
      <c r="BZ36" s="48"/>
      <c r="CA36" s="172">
        <v>2298.8999999999996</v>
      </c>
      <c r="CB36" s="172">
        <v>2086.9</v>
      </c>
      <c r="CC36" s="14">
        <v>4791</v>
      </c>
      <c r="CD36" s="14">
        <f t="shared" si="5"/>
        <v>2742</v>
      </c>
      <c r="CE36" s="54" t="str">
        <f t="shared" si="24"/>
        <v>0</v>
      </c>
      <c r="CF36" s="55">
        <f t="shared" si="7"/>
        <v>0</v>
      </c>
      <c r="CG36" s="54">
        <f t="shared" si="8"/>
        <v>1</v>
      </c>
      <c r="CH36" s="55">
        <f t="shared" si="9"/>
        <v>19928</v>
      </c>
      <c r="CI36" s="55">
        <f t="shared" si="19"/>
        <v>1</v>
      </c>
      <c r="CJ36" s="55">
        <f t="shared" si="19"/>
        <v>19928</v>
      </c>
      <c r="CK36" s="41">
        <v>32</v>
      </c>
      <c r="CL36" s="57" t="str">
        <f t="shared" si="10"/>
        <v>0</v>
      </c>
      <c r="CM36" s="57" t="str">
        <f t="shared" si="11"/>
        <v>0</v>
      </c>
      <c r="CN36" s="167">
        <f t="shared" si="12"/>
        <v>10.712874349237984</v>
      </c>
      <c r="CO36" s="178" t="str">
        <f t="shared" si="13"/>
        <v>0</v>
      </c>
      <c r="CP36" s="178" t="str">
        <f t="shared" si="20"/>
        <v>0</v>
      </c>
      <c r="CQ36" s="167">
        <f t="shared" si="21"/>
        <v>11.439453973772334</v>
      </c>
      <c r="CR36" s="185">
        <v>1</v>
      </c>
      <c r="CS36" s="185">
        <v>0</v>
      </c>
      <c r="CT36" s="185">
        <v>0</v>
      </c>
      <c r="CU36" s="185">
        <v>0</v>
      </c>
      <c r="CV36" s="185">
        <v>4</v>
      </c>
      <c r="CW36" s="185">
        <v>0</v>
      </c>
      <c r="CX36" s="185">
        <v>0</v>
      </c>
      <c r="CY36" s="185">
        <v>0</v>
      </c>
      <c r="CZ36" s="185">
        <v>0</v>
      </c>
      <c r="DA36" s="186">
        <v>192</v>
      </c>
      <c r="DB36" s="187">
        <v>175</v>
      </c>
      <c r="DC36" s="188">
        <v>17</v>
      </c>
      <c r="DD36" s="185">
        <v>154</v>
      </c>
      <c r="DE36" s="185">
        <v>96</v>
      </c>
      <c r="DF36" s="189">
        <v>275</v>
      </c>
      <c r="DG36" s="185">
        <v>122</v>
      </c>
      <c r="DH36" s="185">
        <v>96</v>
      </c>
      <c r="DI36" s="189">
        <v>275</v>
      </c>
      <c r="DJ36" s="185">
        <v>122</v>
      </c>
      <c r="DK36" s="185">
        <v>15</v>
      </c>
      <c r="DL36" s="185">
        <v>6</v>
      </c>
      <c r="DM36" s="188">
        <v>20</v>
      </c>
      <c r="DN36" s="185">
        <v>7</v>
      </c>
      <c r="DO36" s="185">
        <v>6</v>
      </c>
      <c r="DP36" s="188">
        <v>20</v>
      </c>
      <c r="DQ36" s="185">
        <v>7</v>
      </c>
      <c r="DR36" s="184">
        <f t="shared" si="14"/>
        <v>192</v>
      </c>
      <c r="DS36" s="185">
        <v>192</v>
      </c>
    </row>
    <row r="37" spans="1:123">
      <c r="A37" s="43" t="s">
        <v>96</v>
      </c>
      <c r="B37" s="44">
        <v>31</v>
      </c>
      <c r="C37" s="13" t="s">
        <v>83</v>
      </c>
      <c r="D37" s="45">
        <v>1985</v>
      </c>
      <c r="E37" s="46"/>
      <c r="F37" s="46" t="s">
        <v>108</v>
      </c>
      <c r="G37" s="47">
        <v>1</v>
      </c>
      <c r="H37" s="46">
        <v>9</v>
      </c>
      <c r="I37" s="46" t="s">
        <v>100</v>
      </c>
      <c r="J37" s="48">
        <v>19996</v>
      </c>
      <c r="K37" s="48">
        <v>1340</v>
      </c>
      <c r="L37" s="48"/>
      <c r="M37" s="48">
        <v>1227</v>
      </c>
      <c r="N37" s="48">
        <v>96</v>
      </c>
      <c r="O37" s="48">
        <v>208</v>
      </c>
      <c r="P37" s="48">
        <v>97</v>
      </c>
      <c r="Q37" s="49">
        <v>164</v>
      </c>
      <c r="R37" s="61">
        <v>4991.1000000000004</v>
      </c>
      <c r="S37" s="52">
        <v>2832</v>
      </c>
      <c r="T37" s="18">
        <f t="shared" si="0"/>
        <v>84</v>
      </c>
      <c r="U37" s="215">
        <f t="shared" si="15"/>
        <v>0.86473923583979473</v>
      </c>
      <c r="V37" s="50">
        <f t="shared" si="1"/>
        <v>4316</v>
      </c>
      <c r="W37" s="50">
        <f t="shared" si="2"/>
        <v>2440.2000000000003</v>
      </c>
      <c r="X37" s="22">
        <v>12</v>
      </c>
      <c r="Y37" s="215">
        <f t="shared" si="16"/>
        <v>0.13526076416020516</v>
      </c>
      <c r="Z37" s="170">
        <v>675.1</v>
      </c>
      <c r="AA37" s="170">
        <v>391.79999999999973</v>
      </c>
      <c r="AB37" s="51"/>
      <c r="AC37" s="51"/>
      <c r="AD37" s="51"/>
      <c r="AE37" s="170">
        <f t="shared" si="17"/>
        <v>707</v>
      </c>
      <c r="AF37" s="61">
        <f t="shared" si="18"/>
        <v>707</v>
      </c>
      <c r="AG37" s="174"/>
      <c r="AH37" s="61">
        <v>707</v>
      </c>
      <c r="AI37" s="174"/>
      <c r="AJ37" s="53"/>
      <c r="AK37" s="174">
        <f t="shared" si="3"/>
        <v>5698.1</v>
      </c>
      <c r="AL37" s="48"/>
      <c r="AM37" s="48">
        <v>3</v>
      </c>
      <c r="AN37" s="48">
        <v>3</v>
      </c>
      <c r="AO37" s="48">
        <v>3</v>
      </c>
      <c r="AP37" s="48"/>
      <c r="AQ37" s="48">
        <v>3</v>
      </c>
      <c r="AR37" s="48">
        <v>4680</v>
      </c>
      <c r="AS37" s="48">
        <v>583</v>
      </c>
      <c r="AT37" s="48">
        <v>340</v>
      </c>
      <c r="AU37" s="48">
        <v>262</v>
      </c>
      <c r="AV37" s="48">
        <v>210</v>
      </c>
      <c r="AW37" s="48">
        <f t="shared" si="22"/>
        <v>6360</v>
      </c>
      <c r="AX37" s="48"/>
      <c r="AY37" s="48">
        <v>6360</v>
      </c>
      <c r="AZ37" s="48"/>
      <c r="BA37" s="48">
        <v>274</v>
      </c>
      <c r="BB37" s="48">
        <v>1110</v>
      </c>
      <c r="BC37" s="48">
        <v>1110</v>
      </c>
      <c r="BD37" s="48">
        <v>0</v>
      </c>
      <c r="BE37" s="48">
        <v>6</v>
      </c>
      <c r="BF37" s="48">
        <v>256</v>
      </c>
      <c r="BG37" s="48">
        <v>654</v>
      </c>
      <c r="BH37" s="48"/>
      <c r="BI37" s="48">
        <v>17100</v>
      </c>
      <c r="BJ37" s="48">
        <v>4905</v>
      </c>
      <c r="BK37" s="48">
        <v>135</v>
      </c>
      <c r="BL37" s="48">
        <f>G37</f>
        <v>1</v>
      </c>
      <c r="BM37" s="48">
        <f>R37</f>
        <v>4991.1000000000004</v>
      </c>
      <c r="BN37" s="48">
        <f>S37</f>
        <v>2832</v>
      </c>
      <c r="BO37" s="48"/>
      <c r="BP37" s="48"/>
      <c r="BQ37" s="48"/>
      <c r="BR37" s="48"/>
      <c r="BS37" s="48"/>
      <c r="BT37" s="48"/>
      <c r="BU37" s="48"/>
      <c r="BV37" s="48">
        <v>3</v>
      </c>
      <c r="BW37" s="48">
        <f>BC37</f>
        <v>1110</v>
      </c>
      <c r="BX37" s="48">
        <v>10123</v>
      </c>
      <c r="BY37" s="48"/>
      <c r="BZ37" s="48">
        <f>AR37</f>
        <v>4680</v>
      </c>
      <c r="CA37" s="172">
        <v>1879.2000000000003</v>
      </c>
      <c r="CB37" s="172">
        <v>1111.7</v>
      </c>
      <c r="CC37" s="14">
        <v>3695</v>
      </c>
      <c r="CD37" s="14">
        <f t="shared" si="5"/>
        <v>2355</v>
      </c>
      <c r="CE37" s="54" t="str">
        <f t="shared" si="24"/>
        <v>0</v>
      </c>
      <c r="CF37" s="55">
        <f t="shared" si="7"/>
        <v>0</v>
      </c>
      <c r="CG37" s="54">
        <f t="shared" si="8"/>
        <v>1</v>
      </c>
      <c r="CH37" s="55">
        <f t="shared" si="9"/>
        <v>6360</v>
      </c>
      <c r="CI37" s="55">
        <f t="shared" si="19"/>
        <v>1</v>
      </c>
      <c r="CJ37" s="55">
        <f t="shared" si="19"/>
        <v>6360</v>
      </c>
      <c r="CK37" s="41">
        <v>24</v>
      </c>
      <c r="CL37" s="57" t="str">
        <f t="shared" si="10"/>
        <v>0</v>
      </c>
      <c r="CM37" s="57" t="str">
        <f t="shared" si="11"/>
        <v>0</v>
      </c>
      <c r="CN37" s="167">
        <f t="shared" si="12"/>
        <v>13.526076416020516</v>
      </c>
      <c r="CO37" s="178" t="str">
        <f t="shared" si="13"/>
        <v>0</v>
      </c>
      <c r="CP37" s="178" t="str">
        <f t="shared" si="20"/>
        <v>0</v>
      </c>
      <c r="CQ37" s="167">
        <f t="shared" si="21"/>
        <v>24.255453572243376</v>
      </c>
      <c r="CR37" s="185">
        <v>1</v>
      </c>
      <c r="CS37" s="185">
        <v>0</v>
      </c>
      <c r="CT37" s="185">
        <v>0</v>
      </c>
      <c r="CU37" s="185">
        <v>0</v>
      </c>
      <c r="CV37" s="185">
        <v>2</v>
      </c>
      <c r="CW37" s="185">
        <v>0</v>
      </c>
      <c r="CX37" s="185">
        <v>0</v>
      </c>
      <c r="CY37" s="185">
        <v>0</v>
      </c>
      <c r="CZ37" s="185">
        <v>0</v>
      </c>
      <c r="DA37" s="186">
        <v>96</v>
      </c>
      <c r="DB37" s="187">
        <v>89</v>
      </c>
      <c r="DC37" s="188">
        <v>7</v>
      </c>
      <c r="DD37" s="185">
        <v>76</v>
      </c>
      <c r="DE37" s="185">
        <v>44</v>
      </c>
      <c r="DF37" s="189">
        <v>136</v>
      </c>
      <c r="DG37" s="185">
        <v>67</v>
      </c>
      <c r="DH37" s="185">
        <v>44</v>
      </c>
      <c r="DI37" s="189">
        <v>136</v>
      </c>
      <c r="DJ37" s="185">
        <v>67</v>
      </c>
      <c r="DK37" s="185">
        <v>6</v>
      </c>
      <c r="DL37" s="185">
        <v>1</v>
      </c>
      <c r="DM37" s="188">
        <v>8</v>
      </c>
      <c r="DN37" s="185">
        <v>2</v>
      </c>
      <c r="DO37" s="185">
        <v>1</v>
      </c>
      <c r="DP37" s="188">
        <v>8</v>
      </c>
      <c r="DQ37" s="185">
        <v>2</v>
      </c>
      <c r="DR37" s="184">
        <f t="shared" si="14"/>
        <v>96</v>
      </c>
      <c r="DS37" s="185">
        <v>96</v>
      </c>
    </row>
    <row r="38" spans="1:123">
      <c r="A38" s="43" t="s">
        <v>96</v>
      </c>
      <c r="B38" s="44">
        <v>32</v>
      </c>
      <c r="C38" s="13" t="s">
        <v>84</v>
      </c>
      <c r="D38" s="45">
        <v>1983</v>
      </c>
      <c r="E38" s="46"/>
      <c r="F38" s="46" t="s">
        <v>108</v>
      </c>
      <c r="G38" s="47">
        <v>1</v>
      </c>
      <c r="H38" s="46">
        <v>9</v>
      </c>
      <c r="I38" s="46" t="s">
        <v>100</v>
      </c>
      <c r="J38" s="48">
        <v>12849</v>
      </c>
      <c r="K38" s="48">
        <v>1075</v>
      </c>
      <c r="L38" s="48"/>
      <c r="M38" s="48">
        <v>1075</v>
      </c>
      <c r="N38" s="48">
        <v>63</v>
      </c>
      <c r="O38" s="48">
        <v>143</v>
      </c>
      <c r="P38" s="48">
        <v>66</v>
      </c>
      <c r="Q38" s="49">
        <v>125</v>
      </c>
      <c r="R38" s="61">
        <v>3308.6</v>
      </c>
      <c r="S38" s="52">
        <v>1941.4</v>
      </c>
      <c r="T38" s="18">
        <f t="shared" si="0"/>
        <v>57</v>
      </c>
      <c r="U38" s="215">
        <f t="shared" si="15"/>
        <v>0.89040681859396709</v>
      </c>
      <c r="V38" s="50">
        <f t="shared" si="1"/>
        <v>2945.9999999999995</v>
      </c>
      <c r="W38" s="50">
        <f t="shared" si="2"/>
        <v>1720.8999999999999</v>
      </c>
      <c r="X38" s="22">
        <v>6</v>
      </c>
      <c r="Y38" s="215">
        <f t="shared" si="16"/>
        <v>0.10959318140603287</v>
      </c>
      <c r="Z38" s="170">
        <v>362.60000000000036</v>
      </c>
      <c r="AA38" s="170">
        <v>220.50000000000023</v>
      </c>
      <c r="AB38" s="51"/>
      <c r="AC38" s="51"/>
      <c r="AD38" s="51"/>
      <c r="AE38" s="170">
        <f t="shared" si="17"/>
        <v>640.5</v>
      </c>
      <c r="AF38" s="61">
        <f t="shared" si="18"/>
        <v>238.7</v>
      </c>
      <c r="AG38" s="174"/>
      <c r="AH38" s="61">
        <f>640.5-401.8</f>
        <v>238.7</v>
      </c>
      <c r="AI38" s="174">
        <f>401.8</f>
        <v>401.8</v>
      </c>
      <c r="AJ38" s="53"/>
      <c r="AK38" s="174">
        <f t="shared" si="3"/>
        <v>3949.1</v>
      </c>
      <c r="AL38" s="48"/>
      <c r="AM38" s="48">
        <v>2</v>
      </c>
      <c r="AN38" s="48">
        <v>2</v>
      </c>
      <c r="AO38" s="48">
        <v>2</v>
      </c>
      <c r="AP38" s="48"/>
      <c r="AQ38" s="48">
        <v>2</v>
      </c>
      <c r="AR38" s="48">
        <v>4680</v>
      </c>
      <c r="AS38" s="48">
        <v>583</v>
      </c>
      <c r="AT38" s="48">
        <v>215</v>
      </c>
      <c r="AU38" s="48">
        <v>234</v>
      </c>
      <c r="AV38" s="48">
        <v>140</v>
      </c>
      <c r="AW38" s="48">
        <f t="shared" si="22"/>
        <v>4240</v>
      </c>
      <c r="AX38" s="48"/>
      <c r="AY38" s="48">
        <v>4240</v>
      </c>
      <c r="AZ38" s="48"/>
      <c r="BA38" s="48">
        <v>195</v>
      </c>
      <c r="BB38" s="48">
        <v>980</v>
      </c>
      <c r="BC38" s="48">
        <v>980</v>
      </c>
      <c r="BD38" s="48">
        <v>0</v>
      </c>
      <c r="BE38" s="48">
        <v>4</v>
      </c>
      <c r="BF38" s="48">
        <v>237</v>
      </c>
      <c r="BG38" s="48">
        <v>584</v>
      </c>
      <c r="BH38" s="48"/>
      <c r="BI38" s="48">
        <v>11400</v>
      </c>
      <c r="BJ38" s="48">
        <v>3270</v>
      </c>
      <c r="BK38" s="48">
        <v>90</v>
      </c>
      <c r="BL38" s="48">
        <f>G38</f>
        <v>1</v>
      </c>
      <c r="BM38" s="48">
        <f>R38</f>
        <v>3308.6</v>
      </c>
      <c r="BN38" s="48">
        <f>S38</f>
        <v>1941.4</v>
      </c>
      <c r="BO38" s="48"/>
      <c r="BP38" s="48"/>
      <c r="BQ38" s="48"/>
      <c r="BR38" s="48"/>
      <c r="BS38" s="48"/>
      <c r="BT38" s="48"/>
      <c r="BU38" s="48"/>
      <c r="BV38" s="48">
        <v>1</v>
      </c>
      <c r="BW38" s="48">
        <f>BC38</f>
        <v>980</v>
      </c>
      <c r="BX38" s="48">
        <v>7036</v>
      </c>
      <c r="BY38" s="48"/>
      <c r="BZ38" s="48">
        <f>AR38</f>
        <v>4680</v>
      </c>
      <c r="CA38" s="172">
        <v>1259.2000000000003</v>
      </c>
      <c r="CB38" s="172">
        <v>722.6</v>
      </c>
      <c r="CC38" s="14">
        <v>2686</v>
      </c>
      <c r="CD38" s="14">
        <f t="shared" si="5"/>
        <v>1611</v>
      </c>
      <c r="CE38" s="54" t="str">
        <f t="shared" si="24"/>
        <v>0</v>
      </c>
      <c r="CF38" s="55">
        <f t="shared" si="7"/>
        <v>0</v>
      </c>
      <c r="CG38" s="54">
        <f t="shared" si="8"/>
        <v>1</v>
      </c>
      <c r="CH38" s="55">
        <f t="shared" si="9"/>
        <v>4240</v>
      </c>
      <c r="CI38" s="55">
        <f t="shared" si="19"/>
        <v>1</v>
      </c>
      <c r="CJ38" s="55">
        <f t="shared" si="19"/>
        <v>4240</v>
      </c>
      <c r="CK38" s="41">
        <v>33</v>
      </c>
      <c r="CL38" s="57" t="str">
        <f t="shared" si="10"/>
        <v>0</v>
      </c>
      <c r="CM38" s="57" t="str">
        <f t="shared" si="11"/>
        <v>0</v>
      </c>
      <c r="CN38" s="167">
        <f t="shared" si="12"/>
        <v>10.959318140603287</v>
      </c>
      <c r="CO38" s="178" t="str">
        <f t="shared" si="13"/>
        <v>0</v>
      </c>
      <c r="CP38" s="178" t="str">
        <f t="shared" si="20"/>
        <v>0</v>
      </c>
      <c r="CQ38" s="167">
        <f t="shared" si="21"/>
        <v>15.226254083208843</v>
      </c>
      <c r="CR38" s="185">
        <v>1</v>
      </c>
      <c r="CS38" s="185">
        <v>0</v>
      </c>
      <c r="CT38" s="185">
        <v>0</v>
      </c>
      <c r="CU38" s="185">
        <v>0</v>
      </c>
      <c r="CV38" s="185">
        <v>2</v>
      </c>
      <c r="CW38" s="185">
        <v>0</v>
      </c>
      <c r="CX38" s="185">
        <v>0</v>
      </c>
      <c r="CY38" s="185">
        <v>0</v>
      </c>
      <c r="CZ38" s="185">
        <v>0</v>
      </c>
      <c r="DA38" s="186">
        <v>63</v>
      </c>
      <c r="DB38" s="187">
        <v>59</v>
      </c>
      <c r="DC38" s="188">
        <v>4</v>
      </c>
      <c r="DD38" s="185">
        <v>59</v>
      </c>
      <c r="DE38" s="185">
        <v>25</v>
      </c>
      <c r="DF38" s="189">
        <v>94</v>
      </c>
      <c r="DG38" s="185">
        <v>39</v>
      </c>
      <c r="DH38" s="185">
        <v>25</v>
      </c>
      <c r="DI38" s="189">
        <v>94</v>
      </c>
      <c r="DJ38" s="185">
        <v>39</v>
      </c>
      <c r="DK38" s="185">
        <v>4</v>
      </c>
      <c r="DL38" s="185">
        <v>0</v>
      </c>
      <c r="DM38" s="188">
        <v>4</v>
      </c>
      <c r="DN38" s="185">
        <v>0</v>
      </c>
      <c r="DO38" s="185">
        <v>0</v>
      </c>
      <c r="DP38" s="188">
        <v>4</v>
      </c>
      <c r="DQ38" s="185">
        <v>0</v>
      </c>
      <c r="DR38" s="184">
        <f t="shared" si="14"/>
        <v>63</v>
      </c>
      <c r="DS38" s="185">
        <v>63</v>
      </c>
    </row>
    <row r="39" spans="1:123" ht="13.5" customHeight="1">
      <c r="A39" s="43" t="s">
        <v>96</v>
      </c>
      <c r="B39" s="44">
        <v>33</v>
      </c>
      <c r="C39" s="13" t="s">
        <v>85</v>
      </c>
      <c r="D39" s="45">
        <v>1981</v>
      </c>
      <c r="E39" s="46"/>
      <c r="F39" s="46" t="s">
        <v>28</v>
      </c>
      <c r="G39" s="47">
        <v>1</v>
      </c>
      <c r="H39" s="46">
        <v>9</v>
      </c>
      <c r="I39" s="46" t="s">
        <v>99</v>
      </c>
      <c r="J39" s="48">
        <v>19902</v>
      </c>
      <c r="K39" s="48">
        <v>766</v>
      </c>
      <c r="L39" s="48"/>
      <c r="M39" s="48">
        <v>723</v>
      </c>
      <c r="N39" s="48">
        <v>70</v>
      </c>
      <c r="O39" s="48">
        <v>197</v>
      </c>
      <c r="P39" s="48">
        <v>71</v>
      </c>
      <c r="Q39" s="49">
        <v>193</v>
      </c>
      <c r="R39" s="61">
        <v>4520.5</v>
      </c>
      <c r="S39" s="52">
        <v>2865.8</v>
      </c>
      <c r="T39" s="18">
        <f t="shared" si="0"/>
        <v>63</v>
      </c>
      <c r="U39" s="215">
        <f t="shared" si="15"/>
        <v>0.89131733215352282</v>
      </c>
      <c r="V39" s="50">
        <f t="shared" si="1"/>
        <v>4029.2</v>
      </c>
      <c r="W39" s="50">
        <f t="shared" si="2"/>
        <v>2552.7000000000003</v>
      </c>
      <c r="X39" s="22">
        <v>7</v>
      </c>
      <c r="Y39" s="215">
        <f t="shared" si="16"/>
        <v>0.10868266784647716</v>
      </c>
      <c r="Z39" s="170">
        <v>491.3</v>
      </c>
      <c r="AA39" s="170">
        <v>313.10000000000002</v>
      </c>
      <c r="AB39" s="51"/>
      <c r="AC39" s="51"/>
      <c r="AD39" s="51"/>
      <c r="AE39" s="170">
        <f t="shared" si="17"/>
        <v>0</v>
      </c>
      <c r="AF39" s="61">
        <f t="shared" si="18"/>
        <v>0</v>
      </c>
      <c r="AG39" s="174"/>
      <c r="AH39" s="61">
        <v>0</v>
      </c>
      <c r="AI39" s="174"/>
      <c r="AJ39" s="53"/>
      <c r="AK39" s="174">
        <f t="shared" si="3"/>
        <v>4520.5</v>
      </c>
      <c r="AL39" s="48"/>
      <c r="AM39" s="48">
        <v>2</v>
      </c>
      <c r="AN39" s="48">
        <v>2</v>
      </c>
      <c r="AO39" s="48">
        <v>1</v>
      </c>
      <c r="AP39" s="48"/>
      <c r="AQ39" s="48">
        <v>2</v>
      </c>
      <c r="AR39" s="48">
        <v>3930</v>
      </c>
      <c r="AS39" s="48"/>
      <c r="AT39" s="48">
        <v>391</v>
      </c>
      <c r="AU39" s="48">
        <v>157</v>
      </c>
      <c r="AV39" s="48">
        <v>286</v>
      </c>
      <c r="AW39" s="48">
        <f t="shared" si="22"/>
        <v>7246</v>
      </c>
      <c r="AX39" s="48"/>
      <c r="AY39" s="48">
        <v>7246</v>
      </c>
      <c r="AZ39" s="48">
        <v>2140</v>
      </c>
      <c r="BA39" s="48">
        <v>165</v>
      </c>
      <c r="BB39" s="48">
        <v>723</v>
      </c>
      <c r="BC39" s="48">
        <v>723</v>
      </c>
      <c r="BD39" s="48">
        <v>34</v>
      </c>
      <c r="BE39" s="48">
        <v>4</v>
      </c>
      <c r="BF39" s="48">
        <v>237</v>
      </c>
      <c r="BG39" s="48">
        <v>584</v>
      </c>
      <c r="BH39" s="48"/>
      <c r="BI39" s="48">
        <v>7600</v>
      </c>
      <c r="BJ39" s="48">
        <v>3270</v>
      </c>
      <c r="BK39" s="48">
        <v>90</v>
      </c>
      <c r="BL39" s="48"/>
      <c r="BM39" s="48"/>
      <c r="BN39" s="48"/>
      <c r="BO39" s="48">
        <f>G39</f>
        <v>1</v>
      </c>
      <c r="BP39" s="48">
        <f>R39</f>
        <v>4520.5</v>
      </c>
      <c r="BQ39" s="48">
        <f>S39</f>
        <v>2865.8</v>
      </c>
      <c r="BR39" s="48"/>
      <c r="BS39" s="48"/>
      <c r="BT39" s="48"/>
      <c r="BU39" s="48"/>
      <c r="BV39" s="48">
        <v>2</v>
      </c>
      <c r="BW39" s="48"/>
      <c r="BX39" s="48"/>
      <c r="BY39" s="48"/>
      <c r="BZ39" s="48"/>
      <c r="CA39" s="172">
        <v>839.4</v>
      </c>
      <c r="CB39" s="172">
        <v>752.9</v>
      </c>
      <c r="CC39" s="14">
        <v>2136</v>
      </c>
      <c r="CD39" s="14">
        <f t="shared" si="5"/>
        <v>1370</v>
      </c>
      <c r="CE39" s="54" t="str">
        <f t="shared" si="24"/>
        <v>0</v>
      </c>
      <c r="CF39" s="55">
        <f t="shared" si="7"/>
        <v>0</v>
      </c>
      <c r="CG39" s="54">
        <f t="shared" si="8"/>
        <v>1</v>
      </c>
      <c r="CH39" s="55">
        <f t="shared" si="9"/>
        <v>7246</v>
      </c>
      <c r="CI39" s="55">
        <f t="shared" si="19"/>
        <v>1</v>
      </c>
      <c r="CJ39" s="55">
        <f t="shared" si="19"/>
        <v>7246</v>
      </c>
      <c r="CK39" s="41">
        <v>31</v>
      </c>
      <c r="CL39" s="57" t="str">
        <f t="shared" si="10"/>
        <v>0</v>
      </c>
      <c r="CM39" s="57" t="str">
        <f t="shared" si="11"/>
        <v>0</v>
      </c>
      <c r="CN39" s="167">
        <f t="shared" si="12"/>
        <v>10.868266784647716</v>
      </c>
      <c r="CO39" s="178" t="str">
        <f t="shared" si="13"/>
        <v>0</v>
      </c>
      <c r="CP39" s="178" t="str">
        <f t="shared" si="20"/>
        <v>0</v>
      </c>
      <c r="CQ39" s="167">
        <f t="shared" si="21"/>
        <v>10.868266784647716</v>
      </c>
      <c r="CR39" s="185">
        <v>1</v>
      </c>
      <c r="CS39" s="185">
        <v>1</v>
      </c>
      <c r="CT39" s="185">
        <v>1</v>
      </c>
      <c r="CU39" s="185">
        <v>1</v>
      </c>
      <c r="CV39" s="185">
        <v>2</v>
      </c>
      <c r="CW39" s="185">
        <v>0</v>
      </c>
      <c r="CX39" s="185">
        <v>0</v>
      </c>
      <c r="CY39" s="185">
        <v>0</v>
      </c>
      <c r="CZ39" s="185">
        <v>2</v>
      </c>
      <c r="DA39" s="186">
        <v>70</v>
      </c>
      <c r="DB39" s="187">
        <v>65</v>
      </c>
      <c r="DC39" s="188">
        <v>5</v>
      </c>
      <c r="DD39" s="185">
        <v>59</v>
      </c>
      <c r="DE39" s="185">
        <v>39</v>
      </c>
      <c r="DF39" s="189">
        <v>118</v>
      </c>
      <c r="DG39" s="185">
        <v>47</v>
      </c>
      <c r="DH39" s="185">
        <v>39</v>
      </c>
      <c r="DI39" s="189">
        <v>118</v>
      </c>
      <c r="DJ39" s="185">
        <v>47</v>
      </c>
      <c r="DK39" s="185">
        <v>5</v>
      </c>
      <c r="DL39" s="185">
        <v>2</v>
      </c>
      <c r="DM39" s="188">
        <v>8</v>
      </c>
      <c r="DN39" s="185">
        <v>3</v>
      </c>
      <c r="DO39" s="185">
        <v>2</v>
      </c>
      <c r="DP39" s="188">
        <v>8</v>
      </c>
      <c r="DQ39" s="185">
        <v>3</v>
      </c>
      <c r="DR39" s="184">
        <f t="shared" si="14"/>
        <v>70</v>
      </c>
      <c r="DS39" s="185">
        <v>70</v>
      </c>
    </row>
    <row r="40" spans="1:123">
      <c r="A40" s="43" t="s">
        <v>96</v>
      </c>
      <c r="B40" s="44">
        <v>34</v>
      </c>
      <c r="C40" s="13" t="s">
        <v>115</v>
      </c>
      <c r="D40" s="45">
        <v>1983</v>
      </c>
      <c r="E40" s="46"/>
      <c r="F40" s="46" t="s">
        <v>28</v>
      </c>
      <c r="G40" s="47">
        <v>1</v>
      </c>
      <c r="H40" s="46">
        <v>9</v>
      </c>
      <c r="I40" s="46" t="s">
        <v>112</v>
      </c>
      <c r="J40" s="48">
        <f>18946+16017+18838</f>
        <v>53801</v>
      </c>
      <c r="K40" s="48">
        <f>562+744+732</f>
        <v>2038</v>
      </c>
      <c r="L40" s="48"/>
      <c r="M40" s="48">
        <f>704+562+692</f>
        <v>1958</v>
      </c>
      <c r="N40" s="48">
        <v>194</v>
      </c>
      <c r="O40" s="48">
        <v>480</v>
      </c>
      <c r="P40" s="48">
        <v>198</v>
      </c>
      <c r="Q40" s="49">
        <v>467</v>
      </c>
      <c r="R40" s="61">
        <v>11814.4</v>
      </c>
      <c r="S40" s="52">
        <v>7222</v>
      </c>
      <c r="T40" s="18">
        <f t="shared" si="0"/>
        <v>179</v>
      </c>
      <c r="U40" s="215">
        <f t="shared" si="15"/>
        <v>0.91300446912242694</v>
      </c>
      <c r="V40" s="50">
        <f t="shared" si="1"/>
        <v>10786.6</v>
      </c>
      <c r="W40" s="50">
        <f t="shared" si="2"/>
        <v>6581.3</v>
      </c>
      <c r="X40" s="22">
        <v>15</v>
      </c>
      <c r="Y40" s="215">
        <f t="shared" si="16"/>
        <v>8.6995530877573127E-2</v>
      </c>
      <c r="Z40" s="170">
        <v>1027.8</v>
      </c>
      <c r="AA40" s="170">
        <v>640.70000000000005</v>
      </c>
      <c r="AB40" s="51"/>
      <c r="AC40" s="51"/>
      <c r="AD40" s="51"/>
      <c r="AE40" s="170">
        <f t="shared" si="17"/>
        <v>0</v>
      </c>
      <c r="AF40" s="61">
        <f t="shared" si="18"/>
        <v>0</v>
      </c>
      <c r="AG40" s="174"/>
      <c r="AH40" s="61">
        <v>0</v>
      </c>
      <c r="AI40" s="174"/>
      <c r="AJ40" s="53"/>
      <c r="AK40" s="174">
        <f t="shared" si="3"/>
        <v>11814.4</v>
      </c>
      <c r="AL40" s="48"/>
      <c r="AM40" s="48">
        <v>5</v>
      </c>
      <c r="AN40" s="48">
        <v>5</v>
      </c>
      <c r="AO40" s="48">
        <v>5</v>
      </c>
      <c r="AP40" s="48"/>
      <c r="AQ40" s="48">
        <v>5</v>
      </c>
      <c r="AR40" s="48">
        <f>3500+2130+3500</f>
        <v>9130</v>
      </c>
      <c r="AS40" s="48">
        <v>1166</v>
      </c>
      <c r="AT40" s="48">
        <v>690</v>
      </c>
      <c r="AU40" s="48">
        <f>174+107+209</f>
        <v>490</v>
      </c>
      <c r="AV40" s="48">
        <f>286+143+286</f>
        <v>715</v>
      </c>
      <c r="AW40" s="48">
        <f t="shared" si="22"/>
        <v>19928</v>
      </c>
      <c r="AX40" s="48"/>
      <c r="AY40" s="48">
        <f>7246+5436+7246</f>
        <v>19928</v>
      </c>
      <c r="AZ40" s="48">
        <f>1900+1900</f>
        <v>3800</v>
      </c>
      <c r="BA40" s="48">
        <f>164+143+163</f>
        <v>470</v>
      </c>
      <c r="BB40" s="48">
        <f>699+562+692</f>
        <v>1953</v>
      </c>
      <c r="BC40" s="48">
        <f>699+562+692</f>
        <v>1953</v>
      </c>
      <c r="BD40" s="48">
        <f>34+17+34</f>
        <v>85</v>
      </c>
      <c r="BE40" s="48">
        <f>4+2+4</f>
        <v>10</v>
      </c>
      <c r="BF40" s="48">
        <f>188+160+257</f>
        <v>605</v>
      </c>
      <c r="BG40" s="48">
        <f>608+484+677</f>
        <v>1769</v>
      </c>
      <c r="BH40" s="48"/>
      <c r="BI40" s="48">
        <f>7600+3800+7600</f>
        <v>19000</v>
      </c>
      <c r="BJ40" s="48">
        <f>3270+1635+3270</f>
        <v>8175</v>
      </c>
      <c r="BK40" s="48">
        <f>90+45+90</f>
        <v>225</v>
      </c>
      <c r="BL40" s="48"/>
      <c r="BM40" s="48"/>
      <c r="BN40" s="48"/>
      <c r="BO40" s="48"/>
      <c r="BP40" s="48"/>
      <c r="BQ40" s="48"/>
      <c r="BR40" s="48">
        <f>G40</f>
        <v>1</v>
      </c>
      <c r="BS40" s="48">
        <f>R40</f>
        <v>11814.4</v>
      </c>
      <c r="BT40" s="48">
        <f>S40</f>
        <v>7222</v>
      </c>
      <c r="BU40" s="48"/>
      <c r="BV40" s="48">
        <v>4</v>
      </c>
      <c r="BW40" s="48"/>
      <c r="BX40" s="48"/>
      <c r="BY40" s="48"/>
      <c r="BZ40" s="48">
        <v>2130</v>
      </c>
      <c r="CA40" s="172">
        <v>2696.2300000000005</v>
      </c>
      <c r="CB40" s="172">
        <v>2047.4</v>
      </c>
      <c r="CC40" s="14">
        <v>4221</v>
      </c>
      <c r="CD40" s="14">
        <f t="shared" si="5"/>
        <v>2183</v>
      </c>
      <c r="CE40" s="54" t="str">
        <f t="shared" si="24"/>
        <v>0</v>
      </c>
      <c r="CF40" s="55">
        <f t="shared" si="7"/>
        <v>0</v>
      </c>
      <c r="CG40" s="54">
        <f t="shared" si="8"/>
        <v>1</v>
      </c>
      <c r="CH40" s="55">
        <f t="shared" si="9"/>
        <v>19928</v>
      </c>
      <c r="CI40" s="55">
        <f t="shared" si="19"/>
        <v>1</v>
      </c>
      <c r="CJ40" s="55">
        <f t="shared" si="19"/>
        <v>19928</v>
      </c>
      <c r="CK40" s="41">
        <v>20</v>
      </c>
      <c r="CL40" s="57" t="str">
        <f t="shared" si="10"/>
        <v>0</v>
      </c>
      <c r="CM40" s="57" t="str">
        <f t="shared" si="11"/>
        <v>0</v>
      </c>
      <c r="CN40" s="167">
        <f t="shared" si="12"/>
        <v>8.6995530877573124</v>
      </c>
      <c r="CO40" s="178" t="str">
        <f t="shared" si="13"/>
        <v>0</v>
      </c>
      <c r="CP40" s="178" t="str">
        <f t="shared" si="20"/>
        <v>0</v>
      </c>
      <c r="CQ40" s="167">
        <f t="shared" si="21"/>
        <v>8.6995530877573124</v>
      </c>
      <c r="CR40" s="185">
        <v>1</v>
      </c>
      <c r="CS40" s="185">
        <v>0</v>
      </c>
      <c r="CT40" s="185">
        <v>0</v>
      </c>
      <c r="CU40" s="185">
        <v>0</v>
      </c>
      <c r="CV40" s="185">
        <v>4</v>
      </c>
      <c r="CW40" s="185">
        <v>0</v>
      </c>
      <c r="CX40" s="185">
        <v>0</v>
      </c>
      <c r="CY40" s="185">
        <v>0</v>
      </c>
      <c r="CZ40" s="185">
        <v>0</v>
      </c>
      <c r="DA40" s="186">
        <v>194</v>
      </c>
      <c r="DB40" s="187">
        <v>178</v>
      </c>
      <c r="DC40" s="188">
        <v>16</v>
      </c>
      <c r="DD40" s="185">
        <v>168</v>
      </c>
      <c r="DE40" s="185">
        <v>111</v>
      </c>
      <c r="DF40" s="189">
        <v>283</v>
      </c>
      <c r="DG40" s="185">
        <v>144</v>
      </c>
      <c r="DH40" s="185">
        <v>111</v>
      </c>
      <c r="DI40" s="189">
        <v>283</v>
      </c>
      <c r="DJ40" s="185">
        <v>145</v>
      </c>
      <c r="DK40" s="185">
        <v>14</v>
      </c>
      <c r="DL40" s="185">
        <v>4</v>
      </c>
      <c r="DM40" s="188">
        <v>20</v>
      </c>
      <c r="DN40" s="185">
        <v>5</v>
      </c>
      <c r="DO40" s="185">
        <v>4</v>
      </c>
      <c r="DP40" s="188">
        <v>20</v>
      </c>
      <c r="DQ40" s="185">
        <v>5</v>
      </c>
      <c r="DR40" s="184">
        <f t="shared" si="14"/>
        <v>194</v>
      </c>
      <c r="DS40" s="185">
        <v>194</v>
      </c>
    </row>
    <row r="41" spans="1:123">
      <c r="A41" s="43" t="s">
        <v>96</v>
      </c>
      <c r="B41" s="44">
        <v>35</v>
      </c>
      <c r="C41" s="13" t="s">
        <v>117</v>
      </c>
      <c r="D41" s="45">
        <v>1987</v>
      </c>
      <c r="E41" s="46"/>
      <c r="F41" s="46" t="s">
        <v>109</v>
      </c>
      <c r="G41" s="47">
        <v>1</v>
      </c>
      <c r="H41" s="46">
        <v>12</v>
      </c>
      <c r="I41" s="46" t="s">
        <v>100</v>
      </c>
      <c r="J41" s="48">
        <f>26834+27061</f>
        <v>53895</v>
      </c>
      <c r="K41" s="48">
        <f>1358+1477</f>
        <v>2835</v>
      </c>
      <c r="L41" s="48"/>
      <c r="M41" s="48">
        <f>1269+1361</f>
        <v>2630</v>
      </c>
      <c r="N41" s="48">
        <v>132</v>
      </c>
      <c r="O41" s="48">
        <v>220</v>
      </c>
      <c r="P41" s="48">
        <v>135</v>
      </c>
      <c r="Q41" s="49">
        <v>209</v>
      </c>
      <c r="R41" s="61">
        <v>6466.5</v>
      </c>
      <c r="S41" s="52">
        <v>3480.2</v>
      </c>
      <c r="T41" s="18">
        <f t="shared" si="0"/>
        <v>119</v>
      </c>
      <c r="U41" s="215">
        <f t="shared" si="15"/>
        <v>0.90302327379571634</v>
      </c>
      <c r="V41" s="50">
        <f t="shared" si="1"/>
        <v>5839.4</v>
      </c>
      <c r="W41" s="50">
        <f t="shared" si="2"/>
        <v>3143.9</v>
      </c>
      <c r="X41" s="22">
        <v>13</v>
      </c>
      <c r="Y41" s="215">
        <f t="shared" si="16"/>
        <v>9.6976726204283617E-2</v>
      </c>
      <c r="Z41" s="170">
        <v>627.1</v>
      </c>
      <c r="AA41" s="170">
        <v>336.29999999999973</v>
      </c>
      <c r="AB41" s="51"/>
      <c r="AC41" s="51"/>
      <c r="AD41" s="51"/>
      <c r="AE41" s="170">
        <f t="shared" si="17"/>
        <v>1377.5</v>
      </c>
      <c r="AF41" s="61">
        <f t="shared" si="18"/>
        <v>1377.5</v>
      </c>
      <c r="AG41" s="174"/>
      <c r="AH41" s="61">
        <v>1377.5</v>
      </c>
      <c r="AI41" s="174"/>
      <c r="AJ41" s="53"/>
      <c r="AK41" s="174">
        <f t="shared" si="3"/>
        <v>7844</v>
      </c>
      <c r="AL41" s="48"/>
      <c r="AM41" s="48">
        <f>2+2</f>
        <v>4</v>
      </c>
      <c r="AN41" s="48">
        <f>1+1</f>
        <v>2</v>
      </c>
      <c r="AO41" s="48">
        <f>1+1</f>
        <v>2</v>
      </c>
      <c r="AP41" s="48"/>
      <c r="AQ41" s="48">
        <f>1+1</f>
        <v>2</v>
      </c>
      <c r="AR41" s="48">
        <f>5600+5600</f>
        <v>11200</v>
      </c>
      <c r="AS41" s="48"/>
      <c r="AT41" s="48">
        <f>1120</f>
        <v>1120</v>
      </c>
      <c r="AU41" s="48">
        <f>256+256</f>
        <v>512</v>
      </c>
      <c r="AV41" s="48">
        <f>156+156</f>
        <v>312</v>
      </c>
      <c r="AW41" s="48">
        <f t="shared" ref="AW41" si="30">SUM(AX41+AY41)</f>
        <v>17584</v>
      </c>
      <c r="AX41" s="48"/>
      <c r="AY41" s="48">
        <f>8792+8792</f>
        <v>17584</v>
      </c>
      <c r="AZ41" s="48"/>
      <c r="BA41" s="48">
        <f>154+153</f>
        <v>307</v>
      </c>
      <c r="BB41" s="48">
        <f>1225+1223</f>
        <v>2448</v>
      </c>
      <c r="BC41" s="48">
        <f>1225+1223</f>
        <v>2448</v>
      </c>
      <c r="BD41" s="48"/>
      <c r="BE41" s="48">
        <f>2+2</f>
        <v>4</v>
      </c>
      <c r="BF41" s="48">
        <f>176+176</f>
        <v>352</v>
      </c>
      <c r="BG41" s="48">
        <f>572+574</f>
        <v>1146</v>
      </c>
      <c r="BH41" s="48"/>
      <c r="BI41" s="48">
        <f>7600+7600</f>
        <v>15200</v>
      </c>
      <c r="BJ41" s="48">
        <f>3270+3270</f>
        <v>6540</v>
      </c>
      <c r="BK41" s="48">
        <f>120+120</f>
        <v>240</v>
      </c>
      <c r="BL41" s="48">
        <f>G41</f>
        <v>1</v>
      </c>
      <c r="BM41" s="48">
        <f t="shared" ref="BM41:BN44" si="31">R41</f>
        <v>6466.5</v>
      </c>
      <c r="BN41" s="48">
        <f t="shared" si="31"/>
        <v>3480.2</v>
      </c>
      <c r="BO41" s="48"/>
      <c r="BP41" s="48"/>
      <c r="BQ41" s="48"/>
      <c r="BR41" s="48"/>
      <c r="BS41" s="48"/>
      <c r="BT41" s="48"/>
      <c r="BU41" s="48"/>
      <c r="BV41" s="48">
        <v>3</v>
      </c>
      <c r="BW41" s="48">
        <f>BC41</f>
        <v>2448</v>
      </c>
      <c r="BX41" s="48">
        <v>10480</v>
      </c>
      <c r="BY41" s="48"/>
      <c r="BZ41" s="48">
        <f>AR41</f>
        <v>11200</v>
      </c>
      <c r="CA41" s="172">
        <v>2589.7999999999997</v>
      </c>
      <c r="CB41" s="172">
        <v>2084.4</v>
      </c>
      <c r="CC41" s="14">
        <v>6817</v>
      </c>
      <c r="CD41" s="14">
        <f t="shared" si="5"/>
        <v>3982</v>
      </c>
      <c r="CE41" s="54" t="str">
        <f t="shared" si="24"/>
        <v>0</v>
      </c>
      <c r="CF41" s="55">
        <f t="shared" si="7"/>
        <v>0</v>
      </c>
      <c r="CG41" s="54">
        <f t="shared" si="8"/>
        <v>1</v>
      </c>
      <c r="CH41" s="55">
        <f t="shared" si="9"/>
        <v>17584</v>
      </c>
      <c r="CI41" s="55">
        <f t="shared" si="19"/>
        <v>1</v>
      </c>
      <c r="CJ41" s="55">
        <f t="shared" si="19"/>
        <v>17584</v>
      </c>
      <c r="CK41" s="41">
        <v>31</v>
      </c>
      <c r="CL41" s="57" t="str">
        <f t="shared" si="10"/>
        <v>0</v>
      </c>
      <c r="CM41" s="57" t="str">
        <f t="shared" si="11"/>
        <v>0</v>
      </c>
      <c r="CN41" s="167">
        <f t="shared" si="12"/>
        <v>9.6976726204283619</v>
      </c>
      <c r="CO41" s="178" t="str">
        <f t="shared" si="13"/>
        <v>0</v>
      </c>
      <c r="CP41" s="178" t="str">
        <f t="shared" si="20"/>
        <v>0</v>
      </c>
      <c r="CQ41" s="167">
        <f t="shared" si="21"/>
        <v>25.55583885772565</v>
      </c>
      <c r="CR41" s="185">
        <v>1</v>
      </c>
      <c r="CS41" s="185">
        <v>0</v>
      </c>
      <c r="CT41" s="185">
        <v>0</v>
      </c>
      <c r="CU41" s="185">
        <v>0</v>
      </c>
      <c r="CV41" s="185">
        <v>4</v>
      </c>
      <c r="CW41" s="185">
        <v>0</v>
      </c>
      <c r="CX41" s="185">
        <v>0</v>
      </c>
      <c r="CY41" s="185">
        <v>0</v>
      </c>
      <c r="CZ41" s="185">
        <v>0</v>
      </c>
      <c r="DA41" s="186">
        <v>132</v>
      </c>
      <c r="DB41" s="187">
        <v>124</v>
      </c>
      <c r="DC41" s="188">
        <v>8</v>
      </c>
      <c r="DD41" s="185">
        <v>121</v>
      </c>
      <c r="DE41" s="185">
        <v>64</v>
      </c>
      <c r="DF41" s="189">
        <v>127</v>
      </c>
      <c r="DG41" s="185">
        <v>66</v>
      </c>
      <c r="DH41" s="185">
        <v>64</v>
      </c>
      <c r="DI41" s="189">
        <v>127</v>
      </c>
      <c r="DJ41" s="185">
        <v>66</v>
      </c>
      <c r="DK41" s="185">
        <v>6</v>
      </c>
      <c r="DL41" s="185">
        <v>2</v>
      </c>
      <c r="DM41" s="188">
        <v>8</v>
      </c>
      <c r="DN41" s="185">
        <v>2</v>
      </c>
      <c r="DO41" s="185">
        <v>2</v>
      </c>
      <c r="DP41" s="188">
        <v>8</v>
      </c>
      <c r="DQ41" s="185">
        <v>2</v>
      </c>
      <c r="DR41" s="184">
        <f t="shared" si="14"/>
        <v>132</v>
      </c>
      <c r="DS41" s="185">
        <v>132</v>
      </c>
    </row>
    <row r="42" spans="1:123">
      <c r="A42" s="43" t="s">
        <v>96</v>
      </c>
      <c r="B42" s="44">
        <v>36</v>
      </c>
      <c r="C42" s="13" t="s">
        <v>93</v>
      </c>
      <c r="D42" s="45">
        <v>1956</v>
      </c>
      <c r="E42" s="46"/>
      <c r="F42" s="46" t="s">
        <v>29</v>
      </c>
      <c r="G42" s="47">
        <v>1</v>
      </c>
      <c r="H42" s="46">
        <v>4</v>
      </c>
      <c r="I42" s="46" t="s">
        <v>100</v>
      </c>
      <c r="J42" s="48">
        <v>22481</v>
      </c>
      <c r="K42" s="48">
        <v>1728</v>
      </c>
      <c r="L42" s="48">
        <v>2038</v>
      </c>
      <c r="M42" s="48"/>
      <c r="N42" s="48">
        <v>50</v>
      </c>
      <c r="O42" s="48">
        <v>135</v>
      </c>
      <c r="P42" s="48">
        <v>55</v>
      </c>
      <c r="Q42" s="49">
        <v>120</v>
      </c>
      <c r="R42" s="61">
        <v>3787.4</v>
      </c>
      <c r="S42" s="190">
        <v>2279.1</v>
      </c>
      <c r="T42" s="18">
        <f t="shared" si="0"/>
        <v>48</v>
      </c>
      <c r="U42" s="215">
        <f t="shared" si="15"/>
        <v>0.96728626498389392</v>
      </c>
      <c r="V42" s="50">
        <f t="shared" si="1"/>
        <v>3663.5</v>
      </c>
      <c r="W42" s="50">
        <f t="shared" si="2"/>
        <v>2209.4</v>
      </c>
      <c r="X42" s="22">
        <v>2</v>
      </c>
      <c r="Y42" s="215">
        <f t="shared" si="16"/>
        <v>3.2713735016106034E-2</v>
      </c>
      <c r="Z42" s="170">
        <v>123.9</v>
      </c>
      <c r="AA42" s="170">
        <v>69.7</v>
      </c>
      <c r="AB42" s="51"/>
      <c r="AC42" s="51"/>
      <c r="AD42" s="51"/>
      <c r="AE42" s="170">
        <f t="shared" si="17"/>
        <v>1048.9000000000001</v>
      </c>
      <c r="AF42" s="61">
        <f t="shared" si="18"/>
        <v>335.20000000000005</v>
      </c>
      <c r="AG42" s="174"/>
      <c r="AH42" s="61">
        <f>313.6+21.6</f>
        <v>335.20000000000005</v>
      </c>
      <c r="AI42" s="174">
        <f>735.3-21.6</f>
        <v>713.69999999999993</v>
      </c>
      <c r="AJ42" s="53"/>
      <c r="AK42" s="174">
        <f t="shared" si="3"/>
        <v>4836.3</v>
      </c>
      <c r="AL42" s="48"/>
      <c r="AM42" s="48"/>
      <c r="AN42" s="48">
        <v>4</v>
      </c>
      <c r="AO42" s="48"/>
      <c r="AP42" s="48"/>
      <c r="AQ42" s="48">
        <v>1</v>
      </c>
      <c r="AR42" s="48">
        <v>3999</v>
      </c>
      <c r="AS42" s="48">
        <v>585</v>
      </c>
      <c r="AT42" s="48">
        <v>695</v>
      </c>
      <c r="AU42" s="48">
        <v>254</v>
      </c>
      <c r="AV42" s="48">
        <v>120</v>
      </c>
      <c r="AW42" s="48">
        <f>SUM(AX42+AY42)</f>
        <v>3380</v>
      </c>
      <c r="AX42" s="48"/>
      <c r="AY42" s="48">
        <v>3380</v>
      </c>
      <c r="AZ42" s="48"/>
      <c r="BA42" s="48">
        <v>103</v>
      </c>
      <c r="BB42" s="48">
        <v>1703</v>
      </c>
      <c r="BC42" s="48">
        <v>1703</v>
      </c>
      <c r="BD42" s="48">
        <v>16</v>
      </c>
      <c r="BE42" s="48">
        <v>12</v>
      </c>
      <c r="BF42" s="48">
        <v>210</v>
      </c>
      <c r="BG42" s="48">
        <v>507</v>
      </c>
      <c r="BH42" s="48"/>
      <c r="BI42" s="48">
        <v>4057</v>
      </c>
      <c r="BJ42" s="48">
        <v>120</v>
      </c>
      <c r="BK42" s="48"/>
      <c r="BL42" s="48">
        <f>G42</f>
        <v>1</v>
      </c>
      <c r="BM42" s="48">
        <f t="shared" si="31"/>
        <v>3787.4</v>
      </c>
      <c r="BN42" s="48">
        <f t="shared" si="31"/>
        <v>2279.1</v>
      </c>
      <c r="BO42" s="48"/>
      <c r="BP42" s="48"/>
      <c r="BQ42" s="48"/>
      <c r="BR42" s="48"/>
      <c r="BS42" s="48"/>
      <c r="BT42" s="48"/>
      <c r="BU42" s="48"/>
      <c r="BV42" s="48">
        <v>2</v>
      </c>
      <c r="BW42" s="48">
        <f>BC42</f>
        <v>1703</v>
      </c>
      <c r="BX42" s="48">
        <v>4270</v>
      </c>
      <c r="BY42" s="48"/>
      <c r="BZ42" s="48">
        <f>AR42</f>
        <v>3999</v>
      </c>
      <c r="CA42" s="172">
        <v>450.7</v>
      </c>
      <c r="CB42" s="172">
        <v>412.3</v>
      </c>
      <c r="CC42" s="14">
        <v>3344</v>
      </c>
      <c r="CD42" s="14">
        <f t="shared" si="5"/>
        <v>1616</v>
      </c>
      <c r="CE42" s="54" t="str">
        <f t="shared" si="24"/>
        <v>0</v>
      </c>
      <c r="CF42" s="55">
        <f t="shared" si="7"/>
        <v>0</v>
      </c>
      <c r="CG42" s="54">
        <f t="shared" si="8"/>
        <v>1</v>
      </c>
      <c r="CH42" s="55">
        <f t="shared" si="9"/>
        <v>3380</v>
      </c>
      <c r="CI42" s="55">
        <f t="shared" si="19"/>
        <v>1</v>
      </c>
      <c r="CJ42" s="55">
        <f t="shared" si="19"/>
        <v>3380</v>
      </c>
      <c r="CK42" s="41">
        <v>35</v>
      </c>
      <c r="CL42" s="57" t="str">
        <f t="shared" si="10"/>
        <v>0</v>
      </c>
      <c r="CM42" s="57" t="str">
        <f t="shared" si="11"/>
        <v>0</v>
      </c>
      <c r="CN42" s="167">
        <f t="shared" si="12"/>
        <v>3.2713735016106034</v>
      </c>
      <c r="CO42" s="178" t="str">
        <f t="shared" si="13"/>
        <v>0</v>
      </c>
      <c r="CP42" s="178" t="str">
        <f t="shared" si="20"/>
        <v>0</v>
      </c>
      <c r="CQ42" s="167">
        <f t="shared" si="21"/>
        <v>9.4927940781175693</v>
      </c>
      <c r="CR42" s="185">
        <v>1</v>
      </c>
      <c r="CS42" s="185">
        <v>0</v>
      </c>
      <c r="CT42" s="185">
        <v>0</v>
      </c>
      <c r="CU42" s="185">
        <v>0</v>
      </c>
      <c r="CV42" s="185">
        <v>2</v>
      </c>
      <c r="CW42" s="185">
        <v>0</v>
      </c>
      <c r="CX42" s="185">
        <v>0</v>
      </c>
      <c r="CY42" s="185">
        <v>0</v>
      </c>
      <c r="CZ42" s="185">
        <v>0</v>
      </c>
      <c r="DA42" s="186">
        <v>50</v>
      </c>
      <c r="DB42" s="187">
        <v>48</v>
      </c>
      <c r="DC42" s="188">
        <v>2</v>
      </c>
      <c r="DD42" s="185">
        <v>45</v>
      </c>
      <c r="DE42" s="185">
        <v>20</v>
      </c>
      <c r="DF42" s="185">
        <v>79</v>
      </c>
      <c r="DG42" s="185">
        <v>23</v>
      </c>
      <c r="DH42" s="185">
        <v>20</v>
      </c>
      <c r="DI42" s="185">
        <v>79</v>
      </c>
      <c r="DJ42" s="185">
        <v>24</v>
      </c>
      <c r="DK42" s="185">
        <v>2</v>
      </c>
      <c r="DL42" s="185">
        <v>0</v>
      </c>
      <c r="DM42" s="188">
        <v>2</v>
      </c>
      <c r="DN42" s="185">
        <v>0</v>
      </c>
      <c r="DO42" s="185">
        <v>0</v>
      </c>
      <c r="DP42" s="188">
        <v>2</v>
      </c>
      <c r="DQ42" s="185">
        <v>0</v>
      </c>
      <c r="DR42" s="184">
        <f t="shared" si="14"/>
        <v>50</v>
      </c>
      <c r="DS42" s="185">
        <v>20</v>
      </c>
    </row>
    <row r="43" spans="1:123">
      <c r="A43" s="43" t="s">
        <v>96</v>
      </c>
      <c r="B43" s="44">
        <v>37</v>
      </c>
      <c r="C43" s="13" t="s">
        <v>94</v>
      </c>
      <c r="D43" s="45">
        <v>1956</v>
      </c>
      <c r="E43" s="46"/>
      <c r="F43" s="46" t="s">
        <v>29</v>
      </c>
      <c r="G43" s="47">
        <v>1</v>
      </c>
      <c r="H43" s="46">
        <v>5</v>
      </c>
      <c r="I43" s="46" t="s">
        <v>100</v>
      </c>
      <c r="J43" s="48">
        <v>12249</v>
      </c>
      <c r="K43" s="48">
        <v>740</v>
      </c>
      <c r="L43" s="48">
        <v>1872</v>
      </c>
      <c r="M43" s="48"/>
      <c r="N43" s="48">
        <v>38</v>
      </c>
      <c r="O43" s="48">
        <v>94</v>
      </c>
      <c r="P43" s="48">
        <v>41</v>
      </c>
      <c r="Q43" s="49">
        <v>80</v>
      </c>
      <c r="R43" s="61">
        <v>2410.6999999999998</v>
      </c>
      <c r="S43" s="52">
        <v>1483.1</v>
      </c>
      <c r="T43" s="18">
        <f t="shared" si="0"/>
        <v>35</v>
      </c>
      <c r="U43" s="215">
        <f t="shared" si="15"/>
        <v>0.92404695731530262</v>
      </c>
      <c r="V43" s="50">
        <f t="shared" si="1"/>
        <v>2227.6</v>
      </c>
      <c r="W43" s="50">
        <f t="shared" si="2"/>
        <v>1373.6000000000001</v>
      </c>
      <c r="X43" s="22">
        <v>3</v>
      </c>
      <c r="Y43" s="215">
        <f t="shared" si="16"/>
        <v>7.5953042684697394E-2</v>
      </c>
      <c r="Z43" s="170">
        <v>183.1</v>
      </c>
      <c r="AA43" s="170">
        <v>109.49999999999977</v>
      </c>
      <c r="AB43" s="51"/>
      <c r="AC43" s="51"/>
      <c r="AD43" s="51"/>
      <c r="AE43" s="170">
        <f t="shared" si="17"/>
        <v>113</v>
      </c>
      <c r="AF43" s="61">
        <f t="shared" si="18"/>
        <v>0</v>
      </c>
      <c r="AG43" s="174"/>
      <c r="AH43" s="61">
        <v>0</v>
      </c>
      <c r="AI43" s="174">
        <v>113</v>
      </c>
      <c r="AJ43" s="53"/>
      <c r="AK43" s="174">
        <f t="shared" si="3"/>
        <v>2523.6999999999998</v>
      </c>
      <c r="AL43" s="48"/>
      <c r="AM43" s="48"/>
      <c r="AN43" s="48">
        <v>2</v>
      </c>
      <c r="AO43" s="48"/>
      <c r="AP43" s="48"/>
      <c r="AQ43" s="48">
        <v>1</v>
      </c>
      <c r="AR43" s="48">
        <v>2180</v>
      </c>
      <c r="AS43" s="48">
        <v>585</v>
      </c>
      <c r="AT43" s="48">
        <v>145</v>
      </c>
      <c r="AU43" s="48">
        <v>320</v>
      </c>
      <c r="AV43" s="48">
        <v>60</v>
      </c>
      <c r="AW43" s="48">
        <f>SUM(AX43+AY43)</f>
        <v>1986</v>
      </c>
      <c r="AX43" s="48"/>
      <c r="AY43" s="48">
        <v>1986</v>
      </c>
      <c r="AZ43" s="48"/>
      <c r="BA43" s="48">
        <v>50</v>
      </c>
      <c r="BB43" s="48">
        <v>738</v>
      </c>
      <c r="BC43" s="48">
        <v>738</v>
      </c>
      <c r="BD43" s="48">
        <v>10</v>
      </c>
      <c r="BE43" s="48">
        <v>4</v>
      </c>
      <c r="BF43" s="48">
        <v>103</v>
      </c>
      <c r="BG43" s="48">
        <v>379</v>
      </c>
      <c r="BH43" s="48"/>
      <c r="BI43" s="48">
        <v>2862</v>
      </c>
      <c r="BJ43" s="48">
        <v>76</v>
      </c>
      <c r="BK43" s="48"/>
      <c r="BL43" s="48">
        <f>G43</f>
        <v>1</v>
      </c>
      <c r="BM43" s="48">
        <f t="shared" si="31"/>
        <v>2410.6999999999998</v>
      </c>
      <c r="BN43" s="48">
        <f t="shared" si="31"/>
        <v>1483.1</v>
      </c>
      <c r="BO43" s="48"/>
      <c r="BP43" s="48"/>
      <c r="BQ43" s="48"/>
      <c r="BR43" s="48"/>
      <c r="BS43" s="48"/>
      <c r="BT43" s="48"/>
      <c r="BU43" s="48"/>
      <c r="BV43" s="48">
        <v>1</v>
      </c>
      <c r="BW43" s="48">
        <f>BC43</f>
        <v>738</v>
      </c>
      <c r="BX43" s="48">
        <v>2610</v>
      </c>
      <c r="BY43" s="48"/>
      <c r="BZ43" s="48">
        <f>AR43</f>
        <v>2180</v>
      </c>
      <c r="CA43" s="172">
        <v>240.20000000000005</v>
      </c>
      <c r="CB43" s="172">
        <v>226.4</v>
      </c>
      <c r="CC43" s="14">
        <v>2141</v>
      </c>
      <c r="CD43" s="14">
        <f t="shared" si="5"/>
        <v>1401</v>
      </c>
      <c r="CE43" s="54" t="str">
        <f t="shared" si="24"/>
        <v>0</v>
      </c>
      <c r="CF43" s="55">
        <f t="shared" si="7"/>
        <v>0</v>
      </c>
      <c r="CG43" s="54">
        <f t="shared" si="8"/>
        <v>1</v>
      </c>
      <c r="CH43" s="55">
        <f t="shared" si="9"/>
        <v>1986</v>
      </c>
      <c r="CI43" s="55">
        <f t="shared" si="19"/>
        <v>1</v>
      </c>
      <c r="CJ43" s="55">
        <f t="shared" si="19"/>
        <v>1986</v>
      </c>
      <c r="CK43" s="41">
        <v>49</v>
      </c>
      <c r="CL43" s="57" t="str">
        <f t="shared" si="10"/>
        <v>0</v>
      </c>
      <c r="CM43" s="57" t="str">
        <f t="shared" si="11"/>
        <v>0</v>
      </c>
      <c r="CN43" s="167">
        <f t="shared" si="12"/>
        <v>7.5953042684697394</v>
      </c>
      <c r="CO43" s="178" t="str">
        <f t="shared" si="13"/>
        <v>0</v>
      </c>
      <c r="CP43" s="178" t="str">
        <f t="shared" si="20"/>
        <v>0</v>
      </c>
      <c r="CQ43" s="167">
        <f t="shared" si="21"/>
        <v>7.2552205095692841</v>
      </c>
      <c r="CR43" s="185">
        <v>1</v>
      </c>
      <c r="CS43" s="185">
        <v>0</v>
      </c>
      <c r="CT43" s="185">
        <v>0</v>
      </c>
      <c r="CU43" s="185">
        <v>0</v>
      </c>
      <c r="CV43" s="185">
        <v>1</v>
      </c>
      <c r="CW43" s="185">
        <v>0</v>
      </c>
      <c r="CX43" s="185">
        <v>0</v>
      </c>
      <c r="CY43" s="185">
        <v>0</v>
      </c>
      <c r="CZ43" s="185">
        <v>0</v>
      </c>
      <c r="DA43" s="186">
        <v>38</v>
      </c>
      <c r="DB43" s="187">
        <v>35</v>
      </c>
      <c r="DC43" s="188">
        <v>3</v>
      </c>
      <c r="DD43" s="185">
        <v>35</v>
      </c>
      <c r="DE43" s="185">
        <v>14</v>
      </c>
      <c r="DF43" s="185">
        <v>58</v>
      </c>
      <c r="DG43" s="185">
        <v>14</v>
      </c>
      <c r="DH43" s="185">
        <v>14</v>
      </c>
      <c r="DI43" s="185">
        <v>58</v>
      </c>
      <c r="DJ43" s="185">
        <v>14</v>
      </c>
      <c r="DK43" s="185">
        <v>3</v>
      </c>
      <c r="DL43" s="185">
        <v>0</v>
      </c>
      <c r="DM43" s="188">
        <v>3</v>
      </c>
      <c r="DN43" s="185">
        <v>0</v>
      </c>
      <c r="DO43" s="185">
        <v>0</v>
      </c>
      <c r="DP43" s="188">
        <v>3</v>
      </c>
      <c r="DQ43" s="185">
        <v>0</v>
      </c>
      <c r="DR43" s="184">
        <f t="shared" si="14"/>
        <v>38</v>
      </c>
      <c r="DS43" s="185">
        <v>21</v>
      </c>
    </row>
    <row r="44" spans="1:123">
      <c r="A44" s="43" t="s">
        <v>96</v>
      </c>
      <c r="B44" s="44">
        <v>38</v>
      </c>
      <c r="C44" s="13" t="s">
        <v>67</v>
      </c>
      <c r="D44" s="45">
        <v>1955</v>
      </c>
      <c r="E44" s="46"/>
      <c r="F44" s="46" t="s">
        <v>29</v>
      </c>
      <c r="G44" s="47">
        <v>1</v>
      </c>
      <c r="H44" s="46">
        <v>4</v>
      </c>
      <c r="I44" s="46" t="s">
        <v>100</v>
      </c>
      <c r="J44" s="48">
        <v>22319</v>
      </c>
      <c r="K44" s="48">
        <v>1743</v>
      </c>
      <c r="L44" s="48">
        <v>2090</v>
      </c>
      <c r="M44" s="48"/>
      <c r="N44" s="48">
        <v>52</v>
      </c>
      <c r="O44" s="48">
        <v>145</v>
      </c>
      <c r="P44" s="48">
        <v>56</v>
      </c>
      <c r="Q44" s="49">
        <v>119</v>
      </c>
      <c r="R44" s="61">
        <v>4028.44</v>
      </c>
      <c r="S44" s="52">
        <v>2531.62</v>
      </c>
      <c r="T44" s="18">
        <f t="shared" si="0"/>
        <v>46</v>
      </c>
      <c r="U44" s="215">
        <f t="shared" si="15"/>
        <v>0.87239229081232439</v>
      </c>
      <c r="V44" s="50">
        <f t="shared" si="1"/>
        <v>3514.38</v>
      </c>
      <c r="W44" s="50">
        <f t="shared" si="2"/>
        <v>2203.02</v>
      </c>
      <c r="X44" s="22">
        <v>6</v>
      </c>
      <c r="Y44" s="215">
        <f t="shared" si="16"/>
        <v>0.12760770918767561</v>
      </c>
      <c r="Z44" s="170">
        <v>514.05999999999995</v>
      </c>
      <c r="AA44" s="170">
        <v>328.59999999999991</v>
      </c>
      <c r="AB44" s="51"/>
      <c r="AC44" s="51"/>
      <c r="AD44" s="51"/>
      <c r="AE44" s="170">
        <f t="shared" si="17"/>
        <v>883</v>
      </c>
      <c r="AF44" s="61">
        <f t="shared" si="18"/>
        <v>883</v>
      </c>
      <c r="AG44" s="174"/>
      <c r="AH44" s="61">
        <v>883</v>
      </c>
      <c r="AI44" s="174"/>
      <c r="AJ44" s="53"/>
      <c r="AK44" s="174">
        <f t="shared" si="3"/>
        <v>4911.4400000000005</v>
      </c>
      <c r="AL44" s="48"/>
      <c r="AM44" s="48"/>
      <c r="AN44" s="48">
        <v>4</v>
      </c>
      <c r="AO44" s="48"/>
      <c r="AP44" s="48"/>
      <c r="AQ44" s="48">
        <v>1</v>
      </c>
      <c r="AR44" s="48">
        <v>3900</v>
      </c>
      <c r="AS44" s="48">
        <v>585</v>
      </c>
      <c r="AT44" s="48">
        <v>725</v>
      </c>
      <c r="AU44" s="48">
        <v>380</v>
      </c>
      <c r="AV44" s="48">
        <v>120</v>
      </c>
      <c r="AW44" s="48">
        <f>SUM(AX44+AY44)</f>
        <v>3380</v>
      </c>
      <c r="AX44" s="48"/>
      <c r="AY44" s="48">
        <v>3380</v>
      </c>
      <c r="AZ44" s="48"/>
      <c r="BA44" s="48">
        <v>107</v>
      </c>
      <c r="BB44" s="48">
        <v>1691</v>
      </c>
      <c r="BC44" s="48">
        <v>1691</v>
      </c>
      <c r="BD44" s="48">
        <v>20</v>
      </c>
      <c r="BE44" s="48">
        <v>8</v>
      </c>
      <c r="BF44" s="48">
        <v>191</v>
      </c>
      <c r="BG44" s="48">
        <v>497</v>
      </c>
      <c r="BH44" s="48"/>
      <c r="BI44" s="48">
        <v>2616</v>
      </c>
      <c r="BJ44" s="48">
        <v>76</v>
      </c>
      <c r="BK44" s="48"/>
      <c r="BL44" s="48">
        <f>G44</f>
        <v>1</v>
      </c>
      <c r="BM44" s="48">
        <f t="shared" si="31"/>
        <v>4028.44</v>
      </c>
      <c r="BN44" s="48">
        <f t="shared" si="31"/>
        <v>2531.62</v>
      </c>
      <c r="BO44" s="48"/>
      <c r="BP44" s="48"/>
      <c r="BQ44" s="48"/>
      <c r="BR44" s="48"/>
      <c r="BS44" s="48"/>
      <c r="BT44" s="48"/>
      <c r="BU44" s="48"/>
      <c r="BV44" s="48">
        <v>6</v>
      </c>
      <c r="BW44" s="48">
        <f>BC44</f>
        <v>1691</v>
      </c>
      <c r="BX44" s="48">
        <v>4190</v>
      </c>
      <c r="BY44" s="48"/>
      <c r="BZ44" s="48">
        <f>AR44</f>
        <v>3900</v>
      </c>
      <c r="CA44" s="172">
        <v>450.86</v>
      </c>
      <c r="CB44" s="172">
        <v>450.86</v>
      </c>
      <c r="CC44" s="14">
        <v>3565</v>
      </c>
      <c r="CD44" s="14">
        <f t="shared" si="5"/>
        <v>1822</v>
      </c>
      <c r="CE44" s="54" t="str">
        <f t="shared" si="24"/>
        <v>0</v>
      </c>
      <c r="CF44" s="55">
        <f t="shared" si="7"/>
        <v>0</v>
      </c>
      <c r="CG44" s="54">
        <f t="shared" si="8"/>
        <v>1</v>
      </c>
      <c r="CH44" s="55">
        <f t="shared" si="9"/>
        <v>3380</v>
      </c>
      <c r="CI44" s="55">
        <f t="shared" si="19"/>
        <v>1</v>
      </c>
      <c r="CJ44" s="55">
        <f t="shared" si="19"/>
        <v>3380</v>
      </c>
      <c r="CK44" s="41">
        <v>33</v>
      </c>
      <c r="CL44" s="57" t="str">
        <f t="shared" si="10"/>
        <v>0</v>
      </c>
      <c r="CM44" s="57" t="str">
        <f t="shared" si="11"/>
        <v>0</v>
      </c>
      <c r="CN44" s="167">
        <f t="shared" si="12"/>
        <v>12.760770918767561</v>
      </c>
      <c r="CO44" s="178" t="str">
        <f t="shared" si="13"/>
        <v>0</v>
      </c>
      <c r="CP44" s="178" t="str">
        <f t="shared" si="20"/>
        <v>0</v>
      </c>
      <c r="CQ44" s="167">
        <f t="shared" si="21"/>
        <v>28.445018161679663</v>
      </c>
      <c r="CR44" s="185">
        <v>1</v>
      </c>
      <c r="CS44" s="185">
        <v>0</v>
      </c>
      <c r="CT44" s="185">
        <v>0</v>
      </c>
      <c r="CU44" s="185">
        <v>0</v>
      </c>
      <c r="CV44" s="185">
        <v>2</v>
      </c>
      <c r="CW44" s="185">
        <v>0</v>
      </c>
      <c r="CX44" s="185">
        <v>0</v>
      </c>
      <c r="CY44" s="185">
        <v>0</v>
      </c>
      <c r="CZ44" s="185">
        <v>0</v>
      </c>
      <c r="DA44" s="186">
        <v>52</v>
      </c>
      <c r="DB44" s="187">
        <v>49</v>
      </c>
      <c r="DC44" s="188">
        <v>3</v>
      </c>
      <c r="DD44" s="185">
        <v>44</v>
      </c>
      <c r="DE44" s="185">
        <v>15</v>
      </c>
      <c r="DF44" s="185">
        <v>76</v>
      </c>
      <c r="DG44" s="185">
        <v>16</v>
      </c>
      <c r="DH44" s="185">
        <v>15</v>
      </c>
      <c r="DI44" s="185">
        <v>76</v>
      </c>
      <c r="DJ44" s="185">
        <v>18</v>
      </c>
      <c r="DK44" s="185">
        <v>3</v>
      </c>
      <c r="DL44" s="185">
        <v>0</v>
      </c>
      <c r="DM44" s="188">
        <v>3</v>
      </c>
      <c r="DN44" s="185">
        <v>0</v>
      </c>
      <c r="DO44" s="185">
        <v>0</v>
      </c>
      <c r="DP44" s="188">
        <v>3</v>
      </c>
      <c r="DQ44" s="185">
        <v>0</v>
      </c>
      <c r="DR44" s="184">
        <f t="shared" si="14"/>
        <v>52</v>
      </c>
      <c r="DS44" s="185">
        <v>19</v>
      </c>
    </row>
    <row r="45" spans="1:123" s="77" customFormat="1">
      <c r="A45" s="65" t="s">
        <v>97</v>
      </c>
      <c r="B45" s="66">
        <v>39</v>
      </c>
      <c r="C45" s="65" t="s">
        <v>130</v>
      </c>
      <c r="D45" s="67">
        <v>1975</v>
      </c>
      <c r="E45" s="68"/>
      <c r="F45" s="69" t="s">
        <v>107</v>
      </c>
      <c r="G45" s="70">
        <v>1</v>
      </c>
      <c r="H45" s="68">
        <v>9</v>
      </c>
      <c r="I45" s="68" t="s">
        <v>99</v>
      </c>
      <c r="J45" s="71">
        <v>28825</v>
      </c>
      <c r="K45" s="71">
        <v>1202</v>
      </c>
      <c r="L45" s="71">
        <v>1396</v>
      </c>
      <c r="M45" s="71"/>
      <c r="N45" s="71">
        <f>343+2+2+1</f>
        <v>348</v>
      </c>
      <c r="O45" s="71">
        <f>343+2+2+1</f>
        <v>348</v>
      </c>
      <c r="P45" s="71">
        <v>342</v>
      </c>
      <c r="Q45" s="72">
        <v>482</v>
      </c>
      <c r="R45" s="73">
        <f>6487.1+37.6+16.4+21.5+21.6</f>
        <v>6584.2000000000007</v>
      </c>
      <c r="S45" s="191">
        <f>4710.6+11.1+16.3+16.4</f>
        <v>4754.4000000000005</v>
      </c>
      <c r="T45" s="22">
        <f t="shared" si="0"/>
        <v>153</v>
      </c>
      <c r="U45" s="215">
        <f t="shared" si="15"/>
        <v>0.45095835484948821</v>
      </c>
      <c r="V45" s="74">
        <f t="shared" si="1"/>
        <v>2969.2000000000007</v>
      </c>
      <c r="W45" s="74">
        <f t="shared" si="2"/>
        <v>2161.0000000000005</v>
      </c>
      <c r="X45" s="22">
        <v>195</v>
      </c>
      <c r="Y45" s="215">
        <f t="shared" si="16"/>
        <v>0.54904164515051179</v>
      </c>
      <c r="Z45" s="170">
        <v>3615</v>
      </c>
      <c r="AA45" s="170">
        <v>2593.4</v>
      </c>
      <c r="AB45" s="75"/>
      <c r="AC45" s="75"/>
      <c r="AD45" s="75"/>
      <c r="AE45" s="170">
        <f t="shared" si="17"/>
        <v>0</v>
      </c>
      <c r="AF45" s="73">
        <f t="shared" si="18"/>
        <v>0</v>
      </c>
      <c r="AG45" s="176"/>
      <c r="AH45" s="73">
        <f>113.78-16.68-37.6-16.4-21.5-21.6</f>
        <v>0</v>
      </c>
      <c r="AI45" s="176"/>
      <c r="AJ45" s="75"/>
      <c r="AK45" s="192">
        <f t="shared" si="3"/>
        <v>6584.2000000000007</v>
      </c>
      <c r="AL45" s="71"/>
      <c r="AM45" s="71">
        <v>2</v>
      </c>
      <c r="AN45" s="71">
        <v>2</v>
      </c>
      <c r="AO45" s="71">
        <v>1</v>
      </c>
      <c r="AP45" s="71"/>
      <c r="AQ45" s="71">
        <v>1</v>
      </c>
      <c r="AR45" s="71">
        <v>4526</v>
      </c>
      <c r="AS45" s="71"/>
      <c r="AT45" s="71">
        <v>390</v>
      </c>
      <c r="AU45" s="71">
        <v>274</v>
      </c>
      <c r="AV45" s="71">
        <v>76</v>
      </c>
      <c r="AW45" s="71">
        <v>7263</v>
      </c>
      <c r="AX45" s="71"/>
      <c r="AY45" s="71">
        <v>7263</v>
      </c>
      <c r="AZ45" s="71">
        <v>3265</v>
      </c>
      <c r="BA45" s="71">
        <v>228</v>
      </c>
      <c r="BB45" s="71">
        <v>1164</v>
      </c>
      <c r="BC45" s="71">
        <v>1164</v>
      </c>
      <c r="BD45" s="71">
        <v>34</v>
      </c>
      <c r="BE45" s="71">
        <v>54</v>
      </c>
      <c r="BF45" s="71">
        <v>378</v>
      </c>
      <c r="BG45" s="71">
        <v>1097</v>
      </c>
      <c r="BH45" s="71">
        <v>1</v>
      </c>
      <c r="BI45" s="71">
        <v>17000</v>
      </c>
      <c r="BJ45" s="71">
        <v>710</v>
      </c>
      <c r="BK45" s="71">
        <v>200</v>
      </c>
      <c r="BL45" s="71"/>
      <c r="BM45" s="71"/>
      <c r="BN45" s="71"/>
      <c r="BO45" s="76">
        <f t="shared" ref="BO45:BO47" si="32">G45</f>
        <v>1</v>
      </c>
      <c r="BP45" s="76">
        <f t="shared" ref="BP45:BQ47" si="33">R45</f>
        <v>6584.2000000000007</v>
      </c>
      <c r="BQ45" s="76">
        <f t="shared" si="33"/>
        <v>4754.4000000000005</v>
      </c>
      <c r="BR45" s="76"/>
      <c r="BS45" s="76"/>
      <c r="BT45" s="76"/>
      <c r="BU45" s="71"/>
      <c r="BV45" s="71"/>
      <c r="BW45" s="71"/>
      <c r="BX45" s="71"/>
      <c r="BY45" s="71"/>
      <c r="BZ45" s="76"/>
      <c r="CA45" s="172">
        <v>1816.4</v>
      </c>
      <c r="CB45" s="172">
        <v>1816.4</v>
      </c>
      <c r="CC45" s="14">
        <v>3170</v>
      </c>
      <c r="CD45" s="14">
        <f t="shared" si="5"/>
        <v>1968</v>
      </c>
      <c r="CE45" s="54" t="str">
        <f t="shared" si="24"/>
        <v>0</v>
      </c>
      <c r="CF45" s="55">
        <f t="shared" si="7"/>
        <v>0</v>
      </c>
      <c r="CG45" s="54">
        <f t="shared" si="8"/>
        <v>1</v>
      </c>
      <c r="CH45" s="55">
        <f t="shared" si="9"/>
        <v>7263</v>
      </c>
      <c r="CI45" s="55">
        <f t="shared" si="19"/>
        <v>1</v>
      </c>
      <c r="CJ45" s="55">
        <f t="shared" si="19"/>
        <v>7263</v>
      </c>
      <c r="CK45" s="193">
        <v>73</v>
      </c>
      <c r="CL45" s="57">
        <f t="shared" si="10"/>
        <v>1</v>
      </c>
      <c r="CM45" s="57">
        <f t="shared" si="11"/>
        <v>6584.2000000000007</v>
      </c>
      <c r="CN45" s="167">
        <f t="shared" si="12"/>
        <v>54.904164515051178</v>
      </c>
      <c r="CO45" s="178">
        <f t="shared" si="13"/>
        <v>1</v>
      </c>
      <c r="CP45" s="178">
        <f t="shared" si="20"/>
        <v>6584.2000000000007</v>
      </c>
      <c r="CQ45" s="167">
        <f t="shared" si="21"/>
        <v>54.904164515051178</v>
      </c>
      <c r="CR45" s="185">
        <v>1</v>
      </c>
      <c r="CS45" s="185">
        <v>0</v>
      </c>
      <c r="CT45" s="185">
        <v>0</v>
      </c>
      <c r="CU45" s="185">
        <v>1</v>
      </c>
      <c r="CV45" s="185">
        <v>2</v>
      </c>
      <c r="CW45" s="185">
        <v>0</v>
      </c>
      <c r="CX45" s="185">
        <v>0</v>
      </c>
      <c r="CY45" s="185">
        <v>1</v>
      </c>
      <c r="CZ45" s="185">
        <v>0</v>
      </c>
      <c r="DA45" s="186">
        <v>345</v>
      </c>
      <c r="DB45" s="187">
        <v>185</v>
      </c>
      <c r="DC45" s="188">
        <v>160</v>
      </c>
      <c r="DD45" s="185">
        <v>85</v>
      </c>
      <c r="DE45" s="185">
        <v>45</v>
      </c>
      <c r="DF45" s="194">
        <v>185</v>
      </c>
      <c r="DG45" s="195">
        <v>45</v>
      </c>
      <c r="DH45" s="185">
        <v>45</v>
      </c>
      <c r="DI45" s="194">
        <v>185</v>
      </c>
      <c r="DJ45" s="195">
        <v>45</v>
      </c>
      <c r="DK45" s="195">
        <v>41</v>
      </c>
      <c r="DL45" s="195">
        <v>20</v>
      </c>
      <c r="DM45" s="186">
        <v>160</v>
      </c>
      <c r="DN45" s="195">
        <v>20</v>
      </c>
      <c r="DO45" s="185">
        <v>20</v>
      </c>
      <c r="DP45" s="186">
        <v>160</v>
      </c>
      <c r="DQ45" s="185">
        <v>20</v>
      </c>
      <c r="DR45" s="184">
        <f t="shared" si="14"/>
        <v>345</v>
      </c>
      <c r="DS45" s="185">
        <v>345</v>
      </c>
    </row>
    <row r="46" spans="1:123" s="77" customFormat="1">
      <c r="A46" s="65" t="s">
        <v>97</v>
      </c>
      <c r="B46" s="66">
        <v>40</v>
      </c>
      <c r="C46" s="65" t="s">
        <v>131</v>
      </c>
      <c r="D46" s="67">
        <v>1974</v>
      </c>
      <c r="E46" s="68"/>
      <c r="F46" s="69" t="s">
        <v>107</v>
      </c>
      <c r="G46" s="70">
        <v>1</v>
      </c>
      <c r="H46" s="68">
        <v>9</v>
      </c>
      <c r="I46" s="68" t="s">
        <v>99</v>
      </c>
      <c r="J46" s="71">
        <v>29148</v>
      </c>
      <c r="K46" s="71">
        <v>1210</v>
      </c>
      <c r="L46" s="71">
        <v>1408</v>
      </c>
      <c r="M46" s="71"/>
      <c r="N46" s="71">
        <f>354+1+2</f>
        <v>357</v>
      </c>
      <c r="O46" s="71">
        <f>354+1+2</f>
        <v>357</v>
      </c>
      <c r="P46" s="71">
        <v>358</v>
      </c>
      <c r="Q46" s="49">
        <v>97</v>
      </c>
      <c r="R46" s="73">
        <f>6748.89+21.92+16.7+16.56</f>
        <v>6804.0700000000006</v>
      </c>
      <c r="S46" s="191">
        <f>4891.79+16.75+11.74+11.32</f>
        <v>4931.5999999999995</v>
      </c>
      <c r="T46" s="18">
        <f t="shared" si="0"/>
        <v>97</v>
      </c>
      <c r="U46" s="215">
        <f t="shared" si="15"/>
        <v>0.27485019995385118</v>
      </c>
      <c r="V46" s="74">
        <f t="shared" si="1"/>
        <v>1870.1000000000004</v>
      </c>
      <c r="W46" s="74">
        <f t="shared" si="2"/>
        <v>1370.5400000000009</v>
      </c>
      <c r="X46" s="22">
        <v>260</v>
      </c>
      <c r="Y46" s="215">
        <f t="shared" si="16"/>
        <v>0.72514980004614882</v>
      </c>
      <c r="Z46" s="170">
        <v>4933.97</v>
      </c>
      <c r="AA46" s="170">
        <v>3561.0599999999986</v>
      </c>
      <c r="AB46" s="75"/>
      <c r="AC46" s="75"/>
      <c r="AD46" s="75"/>
      <c r="AE46" s="170">
        <f t="shared" si="17"/>
        <v>37.949999999999989</v>
      </c>
      <c r="AF46" s="73">
        <f t="shared" si="18"/>
        <v>37.949999999999989</v>
      </c>
      <c r="AG46" s="176"/>
      <c r="AH46" s="73">
        <f>93.13-21.92-16.7-16.56</f>
        <v>37.949999999999989</v>
      </c>
      <c r="AI46" s="176"/>
      <c r="AJ46" s="75"/>
      <c r="AK46" s="192">
        <f t="shared" si="3"/>
        <v>6842.02</v>
      </c>
      <c r="AL46" s="71"/>
      <c r="AM46" s="71">
        <v>2</v>
      </c>
      <c r="AN46" s="71">
        <v>2</v>
      </c>
      <c r="AO46" s="71">
        <v>1</v>
      </c>
      <c r="AP46" s="71"/>
      <c r="AQ46" s="71">
        <v>1</v>
      </c>
      <c r="AR46" s="71">
        <v>4533</v>
      </c>
      <c r="AS46" s="71"/>
      <c r="AT46" s="71">
        <v>300</v>
      </c>
      <c r="AU46" s="71">
        <v>184</v>
      </c>
      <c r="AV46" s="71">
        <v>76</v>
      </c>
      <c r="AW46" s="71">
        <v>6010</v>
      </c>
      <c r="AX46" s="71"/>
      <c r="AY46" s="71">
        <v>6010</v>
      </c>
      <c r="AZ46" s="71">
        <v>3268</v>
      </c>
      <c r="BA46" s="71">
        <v>309</v>
      </c>
      <c r="BB46" s="71">
        <v>1174</v>
      </c>
      <c r="BC46" s="71">
        <v>1174</v>
      </c>
      <c r="BD46" s="71">
        <v>34</v>
      </c>
      <c r="BE46" s="71">
        <v>54</v>
      </c>
      <c r="BF46" s="71">
        <v>387</v>
      </c>
      <c r="BG46" s="71">
        <v>1121</v>
      </c>
      <c r="BH46" s="71">
        <v>1</v>
      </c>
      <c r="BI46" s="71">
        <v>17000</v>
      </c>
      <c r="BJ46" s="71">
        <v>710</v>
      </c>
      <c r="BK46" s="71">
        <v>200</v>
      </c>
      <c r="BL46" s="71"/>
      <c r="BM46" s="71"/>
      <c r="BN46" s="71"/>
      <c r="BO46" s="76">
        <f t="shared" si="32"/>
        <v>1</v>
      </c>
      <c r="BP46" s="76">
        <f t="shared" si="33"/>
        <v>6804.0700000000006</v>
      </c>
      <c r="BQ46" s="76">
        <f t="shared" si="33"/>
        <v>4931.5999999999995</v>
      </c>
      <c r="BR46" s="76"/>
      <c r="BS46" s="76"/>
      <c r="BT46" s="76"/>
      <c r="BU46" s="71"/>
      <c r="BV46" s="71"/>
      <c r="BW46" s="71"/>
      <c r="BX46" s="71"/>
      <c r="BY46" s="71"/>
      <c r="BZ46" s="76"/>
      <c r="CA46" s="172">
        <v>1886.35</v>
      </c>
      <c r="CB46" s="172">
        <v>1886.35</v>
      </c>
      <c r="CC46" s="14">
        <v>2906</v>
      </c>
      <c r="CD46" s="14">
        <f t="shared" si="5"/>
        <v>1696</v>
      </c>
      <c r="CE46" s="54" t="str">
        <f t="shared" si="24"/>
        <v>0</v>
      </c>
      <c r="CF46" s="55">
        <f t="shared" si="7"/>
        <v>0</v>
      </c>
      <c r="CG46" s="54">
        <f t="shared" si="8"/>
        <v>1</v>
      </c>
      <c r="CH46" s="55">
        <f t="shared" si="9"/>
        <v>6010</v>
      </c>
      <c r="CI46" s="55">
        <f t="shared" ref="CI46:CJ54" si="34">CE46+CG46</f>
        <v>1</v>
      </c>
      <c r="CJ46" s="55">
        <f t="shared" si="34"/>
        <v>6010</v>
      </c>
      <c r="CK46" s="193">
        <v>72</v>
      </c>
      <c r="CL46" s="57">
        <f t="shared" si="10"/>
        <v>1</v>
      </c>
      <c r="CM46" s="57">
        <f t="shared" si="11"/>
        <v>6804.0700000000006</v>
      </c>
      <c r="CN46" s="167">
        <f t="shared" si="12"/>
        <v>72.514980004614884</v>
      </c>
      <c r="CO46" s="178">
        <f t="shared" si="13"/>
        <v>1</v>
      </c>
      <c r="CP46" s="178">
        <f t="shared" si="20"/>
        <v>6842.02</v>
      </c>
      <c r="CQ46" s="167">
        <f t="shared" si="21"/>
        <v>72.667428624879776</v>
      </c>
      <c r="CR46" s="185">
        <v>1</v>
      </c>
      <c r="CS46" s="185">
        <v>0</v>
      </c>
      <c r="CT46" s="185">
        <v>0</v>
      </c>
      <c r="CU46" s="185">
        <v>0</v>
      </c>
      <c r="CV46" s="185">
        <v>2</v>
      </c>
      <c r="CW46" s="185">
        <v>0</v>
      </c>
      <c r="CX46" s="185">
        <v>0</v>
      </c>
      <c r="CY46" s="185">
        <v>0</v>
      </c>
      <c r="CZ46" s="185">
        <v>0</v>
      </c>
      <c r="DA46" s="186">
        <v>354</v>
      </c>
      <c r="DB46" s="187">
        <v>274</v>
      </c>
      <c r="DC46" s="188">
        <v>80</v>
      </c>
      <c r="DD46" s="185">
        <v>12</v>
      </c>
      <c r="DE46" s="185">
        <v>5</v>
      </c>
      <c r="DF46" s="194">
        <v>274</v>
      </c>
      <c r="DG46" s="195">
        <v>5</v>
      </c>
      <c r="DH46" s="185">
        <v>5</v>
      </c>
      <c r="DI46" s="194">
        <v>274</v>
      </c>
      <c r="DJ46" s="195">
        <v>5</v>
      </c>
      <c r="DK46" s="195">
        <v>2</v>
      </c>
      <c r="DL46" s="195">
        <v>0</v>
      </c>
      <c r="DM46" s="186">
        <v>80</v>
      </c>
      <c r="DN46" s="195">
        <v>0</v>
      </c>
      <c r="DO46" s="185">
        <v>0</v>
      </c>
      <c r="DP46" s="186">
        <v>80</v>
      </c>
      <c r="DQ46" s="185">
        <v>0</v>
      </c>
      <c r="DR46" s="184">
        <f t="shared" si="14"/>
        <v>354</v>
      </c>
      <c r="DS46" s="185">
        <v>354</v>
      </c>
    </row>
    <row r="47" spans="1:123" s="93" customFormat="1">
      <c r="A47" s="78" t="s">
        <v>98</v>
      </c>
      <c r="B47" s="79">
        <v>41</v>
      </c>
      <c r="C47" s="78" t="s">
        <v>132</v>
      </c>
      <c r="D47" s="80">
        <v>1974</v>
      </c>
      <c r="E47" s="81"/>
      <c r="F47" s="82" t="s">
        <v>107</v>
      </c>
      <c r="G47" s="83">
        <v>1</v>
      </c>
      <c r="H47" s="84">
        <v>9</v>
      </c>
      <c r="I47" s="81" t="s">
        <v>99</v>
      </c>
      <c r="J47" s="83">
        <v>29080</v>
      </c>
      <c r="K47" s="83">
        <v>1208</v>
      </c>
      <c r="L47" s="83">
        <v>1407</v>
      </c>
      <c r="M47" s="83"/>
      <c r="N47" s="83">
        <f>345+1+1</f>
        <v>347</v>
      </c>
      <c r="O47" s="83">
        <f>345+1+1</f>
        <v>347</v>
      </c>
      <c r="P47" s="83">
        <v>344</v>
      </c>
      <c r="Q47" s="72">
        <v>566</v>
      </c>
      <c r="R47" s="85">
        <f>6582.84+21.68+16.44</f>
        <v>6620.96</v>
      </c>
      <c r="S47" s="86">
        <f>4837.3+16.36+11.74</f>
        <v>4865.3999999999996</v>
      </c>
      <c r="T47" s="22">
        <f t="shared" si="0"/>
        <v>148</v>
      </c>
      <c r="U47" s="215">
        <f t="shared" si="15"/>
        <v>0.4306324158430197</v>
      </c>
      <c r="V47" s="87">
        <f t="shared" si="1"/>
        <v>2851.2</v>
      </c>
      <c r="W47" s="87">
        <f t="shared" si="2"/>
        <v>2094.6299999999997</v>
      </c>
      <c r="X47" s="22">
        <v>199</v>
      </c>
      <c r="Y47" s="215">
        <f t="shared" si="16"/>
        <v>0.5693675841569803</v>
      </c>
      <c r="Z47" s="170">
        <v>3769.76</v>
      </c>
      <c r="AA47" s="170">
        <v>2770.77</v>
      </c>
      <c r="AB47" s="88"/>
      <c r="AC47" s="88"/>
      <c r="AD47" s="88"/>
      <c r="AE47" s="170">
        <f t="shared" si="17"/>
        <v>36.97999999999999</v>
      </c>
      <c r="AF47" s="89">
        <f t="shared" si="18"/>
        <v>36.97999999999999</v>
      </c>
      <c r="AG47" s="90"/>
      <c r="AH47" s="89">
        <f>75.1-21.68-16.44</f>
        <v>36.97999999999999</v>
      </c>
      <c r="AI47" s="90"/>
      <c r="AJ47" s="88"/>
      <c r="AK47" s="196">
        <f t="shared" si="3"/>
        <v>6657.94</v>
      </c>
      <c r="AL47" s="83"/>
      <c r="AM47" s="83">
        <v>2</v>
      </c>
      <c r="AN47" s="83">
        <v>2</v>
      </c>
      <c r="AO47" s="83">
        <v>1</v>
      </c>
      <c r="AP47" s="83"/>
      <c r="AQ47" s="83">
        <v>1</v>
      </c>
      <c r="AR47" s="83">
        <v>4539</v>
      </c>
      <c r="AS47" s="83"/>
      <c r="AT47" s="83">
        <v>249</v>
      </c>
      <c r="AU47" s="91">
        <v>238</v>
      </c>
      <c r="AV47" s="83">
        <v>76</v>
      </c>
      <c r="AW47" s="83">
        <v>7343</v>
      </c>
      <c r="AX47" s="83"/>
      <c r="AY47" s="83">
        <v>7343</v>
      </c>
      <c r="AZ47" s="83">
        <v>3268</v>
      </c>
      <c r="BA47" s="83">
        <v>227</v>
      </c>
      <c r="BB47" s="83">
        <v>1173</v>
      </c>
      <c r="BC47" s="83">
        <v>1173</v>
      </c>
      <c r="BD47" s="83">
        <v>71</v>
      </c>
      <c r="BE47" s="83">
        <v>54</v>
      </c>
      <c r="BF47" s="83">
        <v>377</v>
      </c>
      <c r="BG47" s="83">
        <v>1097</v>
      </c>
      <c r="BH47" s="83">
        <v>1</v>
      </c>
      <c r="BI47" s="83">
        <v>17000</v>
      </c>
      <c r="BJ47" s="83">
        <v>710</v>
      </c>
      <c r="BK47" s="83">
        <v>200</v>
      </c>
      <c r="BL47" s="83"/>
      <c r="BM47" s="83"/>
      <c r="BN47" s="83"/>
      <c r="BO47" s="83">
        <f t="shared" si="32"/>
        <v>1</v>
      </c>
      <c r="BP47" s="83">
        <f t="shared" si="33"/>
        <v>6620.96</v>
      </c>
      <c r="BQ47" s="83">
        <f t="shared" si="33"/>
        <v>4865.3999999999996</v>
      </c>
      <c r="BR47" s="83"/>
      <c r="BS47" s="83"/>
      <c r="BT47" s="83"/>
      <c r="BU47" s="83"/>
      <c r="BV47" s="83"/>
      <c r="BW47" s="83"/>
      <c r="BX47" s="83"/>
      <c r="BY47" s="83"/>
      <c r="BZ47" s="83"/>
      <c r="CA47" s="172">
        <v>1811.84</v>
      </c>
      <c r="CB47" s="172">
        <v>1811.84</v>
      </c>
      <c r="CC47" s="14">
        <v>3281</v>
      </c>
      <c r="CD47" s="14">
        <f t="shared" si="5"/>
        <v>2073</v>
      </c>
      <c r="CE47" s="54" t="str">
        <f t="shared" si="24"/>
        <v>0</v>
      </c>
      <c r="CF47" s="55">
        <f t="shared" si="7"/>
        <v>0</v>
      </c>
      <c r="CG47" s="54">
        <f t="shared" si="8"/>
        <v>1</v>
      </c>
      <c r="CH47" s="55">
        <f t="shared" si="9"/>
        <v>7343</v>
      </c>
      <c r="CI47" s="55">
        <f t="shared" si="34"/>
        <v>1</v>
      </c>
      <c r="CJ47" s="55">
        <f t="shared" si="34"/>
        <v>7343</v>
      </c>
      <c r="CK47" s="92">
        <v>68</v>
      </c>
      <c r="CL47" s="57">
        <f t="shared" si="10"/>
        <v>1</v>
      </c>
      <c r="CM47" s="57">
        <f t="shared" si="11"/>
        <v>6620.96</v>
      </c>
      <c r="CN47" s="167">
        <f t="shared" si="12"/>
        <v>56.93675841569803</v>
      </c>
      <c r="CO47" s="178">
        <f t="shared" si="13"/>
        <v>1</v>
      </c>
      <c r="CP47" s="178">
        <f t="shared" si="20"/>
        <v>6657.94</v>
      </c>
      <c r="CQ47" s="167">
        <f t="shared" si="21"/>
        <v>57.175943309792522</v>
      </c>
      <c r="CR47" s="185">
        <v>1</v>
      </c>
      <c r="CS47" s="185">
        <v>0</v>
      </c>
      <c r="CT47" s="185">
        <v>0</v>
      </c>
      <c r="CU47" s="185">
        <v>1</v>
      </c>
      <c r="CV47" s="185">
        <v>2</v>
      </c>
      <c r="CW47" s="185">
        <v>0</v>
      </c>
      <c r="CX47" s="185">
        <v>0</v>
      </c>
      <c r="CY47" s="185">
        <v>1</v>
      </c>
      <c r="CZ47" s="185">
        <v>0</v>
      </c>
      <c r="DA47" s="186">
        <v>345</v>
      </c>
      <c r="DB47" s="187">
        <v>167</v>
      </c>
      <c r="DC47" s="188">
        <v>178</v>
      </c>
      <c r="DD47" s="185">
        <v>61</v>
      </c>
      <c r="DE47" s="185">
        <v>33</v>
      </c>
      <c r="DF47" s="194">
        <v>167</v>
      </c>
      <c r="DG47" s="195">
        <v>33</v>
      </c>
      <c r="DH47" s="185">
        <v>33</v>
      </c>
      <c r="DI47" s="194">
        <v>167</v>
      </c>
      <c r="DJ47" s="195">
        <v>33</v>
      </c>
      <c r="DK47" s="195">
        <v>31</v>
      </c>
      <c r="DL47" s="195">
        <v>38</v>
      </c>
      <c r="DM47" s="186">
        <v>178</v>
      </c>
      <c r="DN47" s="195">
        <v>38</v>
      </c>
      <c r="DO47" s="185">
        <v>38</v>
      </c>
      <c r="DP47" s="186">
        <v>178</v>
      </c>
      <c r="DQ47" s="185">
        <v>38</v>
      </c>
      <c r="DR47" s="184">
        <f t="shared" si="14"/>
        <v>345</v>
      </c>
      <c r="DS47" s="185">
        <v>345</v>
      </c>
    </row>
    <row r="48" spans="1:123" s="106" customFormat="1">
      <c r="A48" s="94" t="s">
        <v>98</v>
      </c>
      <c r="B48" s="95">
        <v>42</v>
      </c>
      <c r="C48" s="94" t="s">
        <v>133</v>
      </c>
      <c r="D48" s="96">
        <v>1964</v>
      </c>
      <c r="E48" s="97"/>
      <c r="F48" s="94" t="s">
        <v>106</v>
      </c>
      <c r="G48" s="98">
        <v>1</v>
      </c>
      <c r="H48" s="99">
        <v>5</v>
      </c>
      <c r="I48" s="97" t="s">
        <v>100</v>
      </c>
      <c r="J48" s="98">
        <f>13100+3225</f>
        <v>16325</v>
      </c>
      <c r="K48" s="98">
        <f>933</f>
        <v>933</v>
      </c>
      <c r="L48" s="98">
        <f>1054+388</f>
        <v>1442</v>
      </c>
      <c r="M48" s="98"/>
      <c r="N48" s="98">
        <v>145</v>
      </c>
      <c r="O48" s="98">
        <v>155</v>
      </c>
      <c r="P48" s="98">
        <v>129</v>
      </c>
      <c r="Q48" s="72">
        <v>80</v>
      </c>
      <c r="R48" s="100">
        <v>2716.68</v>
      </c>
      <c r="S48" s="101">
        <v>1862.51</v>
      </c>
      <c r="T48" s="22">
        <f t="shared" si="0"/>
        <v>28</v>
      </c>
      <c r="U48" s="215">
        <f t="shared" si="15"/>
        <v>0.21112534417008996</v>
      </c>
      <c r="V48" s="87">
        <f t="shared" si="1"/>
        <v>573.55999999999995</v>
      </c>
      <c r="W48" s="87">
        <f t="shared" si="2"/>
        <v>405.3900000000001</v>
      </c>
      <c r="X48" s="22">
        <v>117</v>
      </c>
      <c r="Y48" s="215">
        <f t="shared" si="16"/>
        <v>0.78887465582991001</v>
      </c>
      <c r="Z48" s="170">
        <v>2143.12</v>
      </c>
      <c r="AA48" s="170">
        <v>1457.12</v>
      </c>
      <c r="AB48" s="102"/>
      <c r="AC48" s="102"/>
      <c r="AD48" s="102"/>
      <c r="AE48" s="170">
        <f t="shared" si="17"/>
        <v>94.7</v>
      </c>
      <c r="AF48" s="100">
        <f t="shared" si="18"/>
        <v>0</v>
      </c>
      <c r="AG48" s="103"/>
      <c r="AH48" s="100">
        <v>0</v>
      </c>
      <c r="AI48" s="103">
        <v>94.7</v>
      </c>
      <c r="AJ48" s="102"/>
      <c r="AK48" s="197">
        <f t="shared" si="3"/>
        <v>2811.3799999999997</v>
      </c>
      <c r="AL48" s="98"/>
      <c r="AM48" s="98"/>
      <c r="AN48" s="98">
        <f>2+1</f>
        <v>3</v>
      </c>
      <c r="AO48" s="98">
        <f>1</f>
        <v>1</v>
      </c>
      <c r="AP48" s="98"/>
      <c r="AQ48" s="98">
        <f>1</f>
        <v>1</v>
      </c>
      <c r="AR48" s="98">
        <f>2404+908</f>
        <v>3312</v>
      </c>
      <c r="AS48" s="98"/>
      <c r="AT48" s="98">
        <f>180+186</f>
        <v>366</v>
      </c>
      <c r="AU48" s="104">
        <f>298+44</f>
        <v>342</v>
      </c>
      <c r="AV48" s="98">
        <f>529+25</f>
        <v>554</v>
      </c>
      <c r="AW48" s="98">
        <f>2885+800</f>
        <v>3685</v>
      </c>
      <c r="AX48" s="98"/>
      <c r="AY48" s="98">
        <f>2885+800</f>
        <v>3685</v>
      </c>
      <c r="AZ48" s="98"/>
      <c r="BA48" s="98">
        <f>135+123</f>
        <v>258</v>
      </c>
      <c r="BB48" s="98">
        <f>668+907</f>
        <v>1575</v>
      </c>
      <c r="BC48" s="98">
        <f>668+907</f>
        <v>1575</v>
      </c>
      <c r="BD48" s="98">
        <f>11+4</f>
        <v>15</v>
      </c>
      <c r="BE48" s="98">
        <f>8+13</f>
        <v>21</v>
      </c>
      <c r="BF48" s="98">
        <f>138+70</f>
        <v>208</v>
      </c>
      <c r="BG48" s="98">
        <f>461+210</f>
        <v>671</v>
      </c>
      <c r="BH48" s="98">
        <f>0+1</f>
        <v>1</v>
      </c>
      <c r="BI48" s="98">
        <f>2637+650</f>
        <v>3287</v>
      </c>
      <c r="BJ48" s="98">
        <f>68+200</f>
        <v>268</v>
      </c>
      <c r="BK48" s="98"/>
      <c r="BL48" s="98">
        <f>G48</f>
        <v>1</v>
      </c>
      <c r="BM48" s="98">
        <f>R48</f>
        <v>2716.68</v>
      </c>
      <c r="BN48" s="98">
        <f>S48</f>
        <v>1862.51</v>
      </c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>
        <f>AR48</f>
        <v>3312</v>
      </c>
      <c r="CA48" s="172">
        <v>779.41</v>
      </c>
      <c r="CB48" s="172">
        <v>779.41</v>
      </c>
      <c r="CC48" s="14">
        <v>2535</v>
      </c>
      <c r="CD48" s="14">
        <f t="shared" si="5"/>
        <v>1602</v>
      </c>
      <c r="CE48" s="54" t="str">
        <f t="shared" si="24"/>
        <v>0</v>
      </c>
      <c r="CF48" s="55">
        <f t="shared" si="7"/>
        <v>0</v>
      </c>
      <c r="CG48" s="54">
        <f t="shared" si="8"/>
        <v>1</v>
      </c>
      <c r="CH48" s="55">
        <f t="shared" si="9"/>
        <v>3685</v>
      </c>
      <c r="CI48" s="55">
        <f t="shared" si="34"/>
        <v>1</v>
      </c>
      <c r="CJ48" s="55">
        <f t="shared" si="34"/>
        <v>3685</v>
      </c>
      <c r="CK48" s="105">
        <v>48</v>
      </c>
      <c r="CL48" s="57">
        <f t="shared" si="10"/>
        <v>1</v>
      </c>
      <c r="CM48" s="57">
        <f t="shared" si="11"/>
        <v>2716.68</v>
      </c>
      <c r="CN48" s="167">
        <f t="shared" si="12"/>
        <v>78.887465582990998</v>
      </c>
      <c r="CO48" s="178">
        <f t="shared" si="13"/>
        <v>1</v>
      </c>
      <c r="CP48" s="178">
        <f t="shared" si="20"/>
        <v>2811.3799999999997</v>
      </c>
      <c r="CQ48" s="167">
        <f t="shared" si="21"/>
        <v>76.230178773413769</v>
      </c>
      <c r="CR48" s="185">
        <v>1</v>
      </c>
      <c r="CS48" s="185">
        <v>0</v>
      </c>
      <c r="CT48" s="185">
        <v>0</v>
      </c>
      <c r="CU48" s="185">
        <v>0</v>
      </c>
      <c r="CV48" s="185">
        <v>2</v>
      </c>
      <c r="CW48" s="185">
        <v>0</v>
      </c>
      <c r="CX48" s="185">
        <v>0</v>
      </c>
      <c r="CY48" s="185">
        <v>1</v>
      </c>
      <c r="CZ48" s="185">
        <v>0</v>
      </c>
      <c r="DA48" s="186">
        <v>145</v>
      </c>
      <c r="DB48" s="187">
        <v>90</v>
      </c>
      <c r="DC48" s="188">
        <v>55</v>
      </c>
      <c r="DD48" s="185">
        <v>27</v>
      </c>
      <c r="DE48" s="185">
        <v>5</v>
      </c>
      <c r="DF48" s="194">
        <v>90</v>
      </c>
      <c r="DG48" s="195">
        <v>5</v>
      </c>
      <c r="DH48" s="185">
        <v>5</v>
      </c>
      <c r="DI48" s="194">
        <v>90</v>
      </c>
      <c r="DJ48" s="195">
        <v>5</v>
      </c>
      <c r="DK48" s="195">
        <v>45</v>
      </c>
      <c r="DL48" s="195">
        <v>3</v>
      </c>
      <c r="DM48" s="186">
        <v>55</v>
      </c>
      <c r="DN48" s="195">
        <v>3</v>
      </c>
      <c r="DO48" s="185">
        <v>3</v>
      </c>
      <c r="DP48" s="186">
        <v>55</v>
      </c>
      <c r="DQ48" s="185">
        <v>3</v>
      </c>
      <c r="DR48" s="184">
        <f t="shared" si="14"/>
        <v>145</v>
      </c>
      <c r="DS48" s="185">
        <v>145</v>
      </c>
    </row>
    <row r="49" spans="1:123" s="93" customFormat="1">
      <c r="A49" s="78" t="s">
        <v>98</v>
      </c>
      <c r="B49" s="79">
        <v>43</v>
      </c>
      <c r="C49" s="78" t="s">
        <v>134</v>
      </c>
      <c r="D49" s="80">
        <v>1975</v>
      </c>
      <c r="E49" s="81"/>
      <c r="F49" s="82" t="s">
        <v>107</v>
      </c>
      <c r="G49" s="83">
        <v>1</v>
      </c>
      <c r="H49" s="84">
        <v>9</v>
      </c>
      <c r="I49" s="81" t="s">
        <v>99</v>
      </c>
      <c r="J49" s="83">
        <v>29680</v>
      </c>
      <c r="K49" s="83">
        <v>1226</v>
      </c>
      <c r="L49" s="83"/>
      <c r="M49" s="83">
        <v>1246</v>
      </c>
      <c r="N49" s="83">
        <f>335+1</f>
        <v>336</v>
      </c>
      <c r="O49" s="83">
        <f>335+1</f>
        <v>336</v>
      </c>
      <c r="P49" s="83">
        <v>338</v>
      </c>
      <c r="Q49" s="72">
        <v>387</v>
      </c>
      <c r="R49" s="89">
        <f>6413.94+16.53</f>
        <v>6430.4699999999993</v>
      </c>
      <c r="S49" s="107">
        <v>4660.24</v>
      </c>
      <c r="T49" s="22">
        <f t="shared" si="0"/>
        <v>114</v>
      </c>
      <c r="U49" s="215">
        <f t="shared" si="15"/>
        <v>0.34114613706307623</v>
      </c>
      <c r="V49" s="87">
        <f t="shared" si="1"/>
        <v>2193.7299999999996</v>
      </c>
      <c r="W49" s="87">
        <f t="shared" si="2"/>
        <v>1604.58</v>
      </c>
      <c r="X49" s="22">
        <v>222</v>
      </c>
      <c r="Y49" s="215">
        <f t="shared" si="16"/>
        <v>0.65885386293692372</v>
      </c>
      <c r="Z49" s="170">
        <v>4236.74</v>
      </c>
      <c r="AA49" s="170">
        <v>3055.66</v>
      </c>
      <c r="AB49" s="88"/>
      <c r="AC49" s="88"/>
      <c r="AD49" s="88"/>
      <c r="AE49" s="170">
        <f t="shared" si="17"/>
        <v>154.26</v>
      </c>
      <c r="AF49" s="89">
        <f t="shared" si="18"/>
        <v>154.26</v>
      </c>
      <c r="AG49" s="90"/>
      <c r="AH49" s="89">
        <f>170.79-16.53</f>
        <v>154.26</v>
      </c>
      <c r="AI49" s="90"/>
      <c r="AJ49" s="88"/>
      <c r="AK49" s="196">
        <f t="shared" si="3"/>
        <v>6584.73</v>
      </c>
      <c r="AL49" s="83"/>
      <c r="AM49" s="83">
        <v>2</v>
      </c>
      <c r="AN49" s="83">
        <v>2</v>
      </c>
      <c r="AO49" s="83">
        <v>1</v>
      </c>
      <c r="AP49" s="83"/>
      <c r="AQ49" s="83">
        <v>1</v>
      </c>
      <c r="AR49" s="83">
        <v>3339</v>
      </c>
      <c r="AS49" s="83"/>
      <c r="AT49" s="83">
        <v>498</v>
      </c>
      <c r="AU49" s="91">
        <v>295</v>
      </c>
      <c r="AV49" s="83">
        <v>1305</v>
      </c>
      <c r="AW49" s="83">
        <v>9331</v>
      </c>
      <c r="AX49" s="83"/>
      <c r="AY49" s="83">
        <v>9331</v>
      </c>
      <c r="AZ49" s="83">
        <v>3292</v>
      </c>
      <c r="BA49" s="83">
        <v>224</v>
      </c>
      <c r="BB49" s="83">
        <v>1186</v>
      </c>
      <c r="BC49" s="83">
        <v>1186</v>
      </c>
      <c r="BD49" s="83">
        <v>54</v>
      </c>
      <c r="BE49" s="83">
        <v>86</v>
      </c>
      <c r="BF49" s="83">
        <v>378</v>
      </c>
      <c r="BG49" s="83">
        <v>1090</v>
      </c>
      <c r="BH49" s="83">
        <v>1</v>
      </c>
      <c r="BI49" s="83">
        <v>8789</v>
      </c>
      <c r="BJ49" s="83">
        <v>225</v>
      </c>
      <c r="BK49" s="83">
        <v>200</v>
      </c>
      <c r="BL49" s="83"/>
      <c r="BM49" s="83"/>
      <c r="BN49" s="83"/>
      <c r="BO49" s="83">
        <f t="shared" ref="BO49:BO51" si="35">G49</f>
        <v>1</v>
      </c>
      <c r="BP49" s="83">
        <f t="shared" ref="BP49:BQ51" si="36">R49</f>
        <v>6430.4699999999993</v>
      </c>
      <c r="BQ49" s="83">
        <f t="shared" si="36"/>
        <v>4660.24</v>
      </c>
      <c r="BR49" s="83"/>
      <c r="BS49" s="83"/>
      <c r="BT49" s="83"/>
      <c r="BU49" s="83"/>
      <c r="BV49" s="83">
        <v>1</v>
      </c>
      <c r="BW49" s="83"/>
      <c r="BX49" s="83"/>
      <c r="BY49" s="83">
        <v>20</v>
      </c>
      <c r="BZ49" s="83"/>
      <c r="CA49" s="172">
        <v>2010.93</v>
      </c>
      <c r="CB49" s="172">
        <v>2010.93</v>
      </c>
      <c r="CC49" s="14">
        <v>3741</v>
      </c>
      <c r="CD49" s="14">
        <f t="shared" si="5"/>
        <v>2515</v>
      </c>
      <c r="CE49" s="54" t="str">
        <f t="shared" si="24"/>
        <v>0</v>
      </c>
      <c r="CF49" s="55">
        <f t="shared" si="7"/>
        <v>0</v>
      </c>
      <c r="CG49" s="54">
        <f t="shared" si="8"/>
        <v>1</v>
      </c>
      <c r="CH49" s="55">
        <f t="shared" si="9"/>
        <v>9331</v>
      </c>
      <c r="CI49" s="55">
        <f t="shared" si="34"/>
        <v>1</v>
      </c>
      <c r="CJ49" s="55">
        <f t="shared" si="34"/>
        <v>9331</v>
      </c>
      <c r="CK49" s="92">
        <v>73</v>
      </c>
      <c r="CL49" s="57">
        <f t="shared" si="10"/>
        <v>1</v>
      </c>
      <c r="CM49" s="57">
        <f t="shared" si="11"/>
        <v>6430.4699999999993</v>
      </c>
      <c r="CN49" s="167">
        <f t="shared" si="12"/>
        <v>65.885386293692378</v>
      </c>
      <c r="CO49" s="178">
        <f t="shared" si="13"/>
        <v>1</v>
      </c>
      <c r="CP49" s="178">
        <f t="shared" si="20"/>
        <v>6584.73</v>
      </c>
      <c r="CQ49" s="167">
        <f t="shared" si="21"/>
        <v>66.684586915484772</v>
      </c>
      <c r="CR49" s="185">
        <v>1</v>
      </c>
      <c r="CS49" s="185">
        <v>0</v>
      </c>
      <c r="CT49" s="185">
        <v>0</v>
      </c>
      <c r="CU49" s="185">
        <v>0</v>
      </c>
      <c r="CV49" s="185">
        <v>2</v>
      </c>
      <c r="CW49" s="185">
        <v>0</v>
      </c>
      <c r="CX49" s="185">
        <v>0</v>
      </c>
      <c r="CY49" s="185">
        <v>1</v>
      </c>
      <c r="CZ49" s="185">
        <v>0</v>
      </c>
      <c r="DA49" s="186">
        <v>336</v>
      </c>
      <c r="DB49" s="187">
        <v>163</v>
      </c>
      <c r="DC49" s="188">
        <v>173</v>
      </c>
      <c r="DD49" s="185">
        <v>54</v>
      </c>
      <c r="DE49" s="185">
        <v>39</v>
      </c>
      <c r="DF49" s="194">
        <v>163</v>
      </c>
      <c r="DG49" s="195">
        <v>39</v>
      </c>
      <c r="DH49" s="185">
        <v>39</v>
      </c>
      <c r="DI49" s="194">
        <v>163</v>
      </c>
      <c r="DJ49" s="195">
        <v>39</v>
      </c>
      <c r="DK49" s="195">
        <v>48</v>
      </c>
      <c r="DL49" s="195">
        <v>35</v>
      </c>
      <c r="DM49" s="186">
        <v>173</v>
      </c>
      <c r="DN49" s="195">
        <v>35</v>
      </c>
      <c r="DO49" s="185">
        <v>35</v>
      </c>
      <c r="DP49" s="186">
        <v>173</v>
      </c>
      <c r="DQ49" s="185">
        <v>35</v>
      </c>
      <c r="DR49" s="184">
        <f t="shared" si="14"/>
        <v>336</v>
      </c>
      <c r="DS49" s="185">
        <v>336</v>
      </c>
    </row>
    <row r="50" spans="1:123" s="93" customFormat="1">
      <c r="A50" s="78" t="s">
        <v>98</v>
      </c>
      <c r="B50" s="79">
        <v>44</v>
      </c>
      <c r="C50" s="78" t="s">
        <v>135</v>
      </c>
      <c r="D50" s="80">
        <v>1974</v>
      </c>
      <c r="E50" s="81"/>
      <c r="F50" s="82" t="s">
        <v>107</v>
      </c>
      <c r="G50" s="83">
        <v>1</v>
      </c>
      <c r="H50" s="84">
        <v>9</v>
      </c>
      <c r="I50" s="81" t="s">
        <v>99</v>
      </c>
      <c r="J50" s="83">
        <v>29548</v>
      </c>
      <c r="K50" s="83">
        <v>1244</v>
      </c>
      <c r="L50" s="83">
        <v>1417</v>
      </c>
      <c r="M50" s="83"/>
      <c r="N50" s="83">
        <f>352+1+2</f>
        <v>355</v>
      </c>
      <c r="O50" s="83">
        <f>352+1+2</f>
        <v>355</v>
      </c>
      <c r="P50" s="83">
        <v>357</v>
      </c>
      <c r="Q50" s="72">
        <v>507</v>
      </c>
      <c r="R50" s="89">
        <f>6721.74+16.56+21.84+21.6</f>
        <v>6781.7400000000007</v>
      </c>
      <c r="S50" s="107">
        <f>5091.4+12.05+17+16.88</f>
        <v>5137.33</v>
      </c>
      <c r="T50" s="18">
        <f t="shared" si="0"/>
        <v>160</v>
      </c>
      <c r="U50" s="215">
        <f t="shared" si="15"/>
        <v>0.44510110974469685</v>
      </c>
      <c r="V50" s="87">
        <f t="shared" si="1"/>
        <v>3018.5600000000009</v>
      </c>
      <c r="W50" s="87">
        <f t="shared" si="2"/>
        <v>2287.17</v>
      </c>
      <c r="X50" s="22">
        <v>195</v>
      </c>
      <c r="Y50" s="215">
        <f t="shared" si="16"/>
        <v>0.55489889025530315</v>
      </c>
      <c r="Z50" s="170">
        <v>3763.18</v>
      </c>
      <c r="AA50" s="170">
        <v>2850.16</v>
      </c>
      <c r="AB50" s="88"/>
      <c r="AC50" s="88"/>
      <c r="AD50" s="88"/>
      <c r="AE50" s="170">
        <f t="shared" si="17"/>
        <v>33.629999999999988</v>
      </c>
      <c r="AF50" s="89">
        <f t="shared" si="18"/>
        <v>33.629999999999988</v>
      </c>
      <c r="AG50" s="90"/>
      <c r="AH50" s="89">
        <f>93.63-16.56-21.84-21.6</f>
        <v>33.629999999999988</v>
      </c>
      <c r="AI50" s="90"/>
      <c r="AJ50" s="88"/>
      <c r="AK50" s="196">
        <f t="shared" si="3"/>
        <v>6815.3700000000008</v>
      </c>
      <c r="AL50" s="83"/>
      <c r="AM50" s="83">
        <v>2</v>
      </c>
      <c r="AN50" s="83">
        <v>2</v>
      </c>
      <c r="AO50" s="83">
        <v>1</v>
      </c>
      <c r="AP50" s="83"/>
      <c r="AQ50" s="83">
        <v>1</v>
      </c>
      <c r="AR50" s="83">
        <v>3328</v>
      </c>
      <c r="AS50" s="83"/>
      <c r="AT50" s="83">
        <v>240</v>
      </c>
      <c r="AU50" s="91">
        <v>358</v>
      </c>
      <c r="AV50" s="83">
        <v>1305</v>
      </c>
      <c r="AW50" s="83">
        <v>9331</v>
      </c>
      <c r="AX50" s="83"/>
      <c r="AY50" s="83">
        <v>9331</v>
      </c>
      <c r="AZ50" s="83">
        <v>3293</v>
      </c>
      <c r="BA50" s="83">
        <v>228</v>
      </c>
      <c r="BB50" s="83">
        <v>1177</v>
      </c>
      <c r="BC50" s="83">
        <v>1177</v>
      </c>
      <c r="BD50" s="83">
        <v>60</v>
      </c>
      <c r="BE50" s="83">
        <v>88</v>
      </c>
      <c r="BF50" s="83">
        <v>387</v>
      </c>
      <c r="BG50" s="83">
        <v>1113</v>
      </c>
      <c r="BH50" s="83">
        <v>1</v>
      </c>
      <c r="BI50" s="83">
        <v>8789</v>
      </c>
      <c r="BJ50" s="83">
        <v>225</v>
      </c>
      <c r="BK50" s="83">
        <v>200</v>
      </c>
      <c r="BL50" s="83"/>
      <c r="BM50" s="83"/>
      <c r="BN50" s="83"/>
      <c r="BO50" s="83">
        <f t="shared" si="35"/>
        <v>1</v>
      </c>
      <c r="BP50" s="83">
        <f t="shared" si="36"/>
        <v>6781.7400000000007</v>
      </c>
      <c r="BQ50" s="83">
        <f t="shared" si="36"/>
        <v>5137.33</v>
      </c>
      <c r="BR50" s="83"/>
      <c r="BS50" s="83"/>
      <c r="BT50" s="83"/>
      <c r="BU50" s="83"/>
      <c r="BV50" s="83"/>
      <c r="BW50" s="83"/>
      <c r="BX50" s="83"/>
      <c r="BY50" s="83"/>
      <c r="BZ50" s="83"/>
      <c r="CA50" s="172">
        <v>1912.93</v>
      </c>
      <c r="CB50" s="172">
        <v>1912.93</v>
      </c>
      <c r="CC50" s="14">
        <v>2483</v>
      </c>
      <c r="CD50" s="14">
        <f t="shared" si="5"/>
        <v>1239</v>
      </c>
      <c r="CE50" s="54" t="str">
        <f t="shared" si="24"/>
        <v>0</v>
      </c>
      <c r="CF50" s="55">
        <f t="shared" si="7"/>
        <v>0</v>
      </c>
      <c r="CG50" s="54">
        <f t="shared" si="8"/>
        <v>1</v>
      </c>
      <c r="CH50" s="55">
        <f t="shared" si="9"/>
        <v>9331</v>
      </c>
      <c r="CI50" s="55">
        <f t="shared" si="34"/>
        <v>1</v>
      </c>
      <c r="CJ50" s="55">
        <f t="shared" si="34"/>
        <v>9331</v>
      </c>
      <c r="CK50" s="92">
        <v>75</v>
      </c>
      <c r="CL50" s="57">
        <f t="shared" si="10"/>
        <v>1</v>
      </c>
      <c r="CM50" s="57">
        <f t="shared" si="11"/>
        <v>6781.7400000000007</v>
      </c>
      <c r="CN50" s="167">
        <f t="shared" si="12"/>
        <v>55.489889025530317</v>
      </c>
      <c r="CO50" s="178">
        <f t="shared" si="13"/>
        <v>1</v>
      </c>
      <c r="CP50" s="178">
        <f t="shared" si="20"/>
        <v>6815.3700000000008</v>
      </c>
      <c r="CQ50" s="167">
        <f t="shared" si="21"/>
        <v>55.709521273239751</v>
      </c>
      <c r="CR50" s="185">
        <v>1</v>
      </c>
      <c r="CS50" s="185">
        <v>0</v>
      </c>
      <c r="CT50" s="185">
        <v>0</v>
      </c>
      <c r="CU50" s="185">
        <v>0</v>
      </c>
      <c r="CV50" s="185">
        <v>2</v>
      </c>
      <c r="CW50" s="185">
        <v>0</v>
      </c>
      <c r="CX50" s="185">
        <v>0</v>
      </c>
      <c r="CY50" s="185">
        <v>1</v>
      </c>
      <c r="CZ50" s="185">
        <v>0</v>
      </c>
      <c r="DA50" s="186">
        <v>352</v>
      </c>
      <c r="DB50" s="187">
        <v>165</v>
      </c>
      <c r="DC50" s="188">
        <v>187</v>
      </c>
      <c r="DD50" s="185">
        <v>48</v>
      </c>
      <c r="DE50" s="185">
        <v>31</v>
      </c>
      <c r="DF50" s="194">
        <v>165</v>
      </c>
      <c r="DG50" s="195">
        <v>31</v>
      </c>
      <c r="DH50" s="185">
        <v>31</v>
      </c>
      <c r="DI50" s="194">
        <v>165</v>
      </c>
      <c r="DJ50" s="195">
        <v>31</v>
      </c>
      <c r="DK50" s="195">
        <v>24</v>
      </c>
      <c r="DL50" s="195">
        <v>27</v>
      </c>
      <c r="DM50" s="186">
        <v>187</v>
      </c>
      <c r="DN50" s="195">
        <v>27</v>
      </c>
      <c r="DO50" s="185">
        <v>27</v>
      </c>
      <c r="DP50" s="186">
        <v>187</v>
      </c>
      <c r="DQ50" s="185">
        <v>27</v>
      </c>
      <c r="DR50" s="184">
        <f t="shared" si="14"/>
        <v>352</v>
      </c>
      <c r="DS50" s="185">
        <v>352</v>
      </c>
    </row>
    <row r="51" spans="1:123" s="93" customFormat="1">
      <c r="A51" s="78" t="s">
        <v>98</v>
      </c>
      <c r="B51" s="79">
        <v>45</v>
      </c>
      <c r="C51" s="78" t="s">
        <v>136</v>
      </c>
      <c r="D51" s="80">
        <v>1972</v>
      </c>
      <c r="E51" s="81"/>
      <c r="F51" s="82" t="s">
        <v>107</v>
      </c>
      <c r="G51" s="83">
        <v>1</v>
      </c>
      <c r="H51" s="84">
        <v>9</v>
      </c>
      <c r="I51" s="81" t="s">
        <v>99</v>
      </c>
      <c r="J51" s="83">
        <v>28739</v>
      </c>
      <c r="K51" s="83">
        <v>1192</v>
      </c>
      <c r="L51" s="83">
        <v>1415</v>
      </c>
      <c r="M51" s="83"/>
      <c r="N51" s="83">
        <f>353+3</f>
        <v>356</v>
      </c>
      <c r="O51" s="83">
        <f>353+3</f>
        <v>356</v>
      </c>
      <c r="P51" s="83">
        <v>356</v>
      </c>
      <c r="Q51" s="72">
        <v>498</v>
      </c>
      <c r="R51" s="89">
        <f>6752.39+21.66+21.89+21.86</f>
        <v>6817.8</v>
      </c>
      <c r="S51" s="107">
        <f>4883.9+16.42+16.55+16.44</f>
        <v>4933.3099999999995</v>
      </c>
      <c r="T51" s="22">
        <f t="shared" si="0"/>
        <v>177</v>
      </c>
      <c r="U51" s="215">
        <f t="shared" si="15"/>
        <v>0.49426207867640587</v>
      </c>
      <c r="V51" s="87">
        <f t="shared" si="1"/>
        <v>3369.78</v>
      </c>
      <c r="W51" s="87">
        <f t="shared" si="2"/>
        <v>2439.1199999999994</v>
      </c>
      <c r="X51" s="22">
        <v>179</v>
      </c>
      <c r="Y51" s="215">
        <f t="shared" si="16"/>
        <v>0.50573792132359408</v>
      </c>
      <c r="Z51" s="170">
        <v>3448.02</v>
      </c>
      <c r="AA51" s="170">
        <v>2494.19</v>
      </c>
      <c r="AB51" s="88"/>
      <c r="AC51" s="88"/>
      <c r="AD51" s="88"/>
      <c r="AE51" s="170">
        <f t="shared" si="17"/>
        <v>21.810000000000002</v>
      </c>
      <c r="AF51" s="89">
        <f t="shared" si="18"/>
        <v>21.810000000000002</v>
      </c>
      <c r="AG51" s="90"/>
      <c r="AH51" s="89">
        <f>87.22-21.66-21.89-21.86</f>
        <v>21.810000000000002</v>
      </c>
      <c r="AI51" s="90"/>
      <c r="AJ51" s="88"/>
      <c r="AK51" s="196">
        <f t="shared" si="3"/>
        <v>6839.6100000000006</v>
      </c>
      <c r="AL51" s="83"/>
      <c r="AM51" s="83">
        <v>2</v>
      </c>
      <c r="AN51" s="83">
        <v>2</v>
      </c>
      <c r="AO51" s="83">
        <v>1</v>
      </c>
      <c r="AP51" s="83"/>
      <c r="AQ51" s="83">
        <v>1</v>
      </c>
      <c r="AR51" s="83">
        <v>4560</v>
      </c>
      <c r="AS51" s="83"/>
      <c r="AT51" s="83">
        <v>231</v>
      </c>
      <c r="AU51" s="91">
        <v>365</v>
      </c>
      <c r="AV51" s="83">
        <v>1305</v>
      </c>
      <c r="AW51" s="83">
        <v>9331</v>
      </c>
      <c r="AX51" s="83"/>
      <c r="AY51" s="83">
        <v>9331</v>
      </c>
      <c r="AZ51" s="83">
        <v>3276</v>
      </c>
      <c r="BA51" s="83">
        <v>223</v>
      </c>
      <c r="BB51" s="83">
        <v>1169</v>
      </c>
      <c r="BC51" s="83">
        <v>1169</v>
      </c>
      <c r="BD51" s="83">
        <v>62</v>
      </c>
      <c r="BE51" s="83">
        <v>54</v>
      </c>
      <c r="BF51" s="83">
        <v>402</v>
      </c>
      <c r="BG51" s="83">
        <v>1120</v>
      </c>
      <c r="BH51" s="83">
        <v>1</v>
      </c>
      <c r="BI51" s="83">
        <v>8789</v>
      </c>
      <c r="BJ51" s="83">
        <v>225</v>
      </c>
      <c r="BK51" s="83">
        <v>200</v>
      </c>
      <c r="BL51" s="83"/>
      <c r="BM51" s="83"/>
      <c r="BN51" s="83"/>
      <c r="BO51" s="83">
        <f t="shared" si="35"/>
        <v>1</v>
      </c>
      <c r="BP51" s="83">
        <f t="shared" si="36"/>
        <v>6817.8</v>
      </c>
      <c r="BQ51" s="83">
        <f t="shared" si="36"/>
        <v>4933.3099999999995</v>
      </c>
      <c r="BR51" s="83"/>
      <c r="BS51" s="83"/>
      <c r="BT51" s="83"/>
      <c r="BU51" s="83"/>
      <c r="BV51" s="83"/>
      <c r="BW51" s="83"/>
      <c r="BX51" s="83"/>
      <c r="BY51" s="83"/>
      <c r="BZ51" s="83"/>
      <c r="CA51" s="172">
        <v>1932.88</v>
      </c>
      <c r="CB51" s="172">
        <v>1932.88</v>
      </c>
      <c r="CC51" s="14">
        <v>2270</v>
      </c>
      <c r="CD51" s="14">
        <f t="shared" si="5"/>
        <v>1078</v>
      </c>
      <c r="CE51" s="54" t="str">
        <f t="shared" si="24"/>
        <v>0</v>
      </c>
      <c r="CF51" s="55">
        <f t="shared" si="7"/>
        <v>0</v>
      </c>
      <c r="CG51" s="54">
        <f t="shared" si="8"/>
        <v>1</v>
      </c>
      <c r="CH51" s="55">
        <f t="shared" si="9"/>
        <v>9331</v>
      </c>
      <c r="CI51" s="55">
        <f t="shared" si="34"/>
        <v>1</v>
      </c>
      <c r="CJ51" s="55">
        <f t="shared" si="34"/>
        <v>9331</v>
      </c>
      <c r="CK51" s="92">
        <v>68</v>
      </c>
      <c r="CL51" s="57">
        <f t="shared" si="10"/>
        <v>1</v>
      </c>
      <c r="CM51" s="57">
        <f t="shared" si="11"/>
        <v>6817.8</v>
      </c>
      <c r="CN51" s="167">
        <f t="shared" si="12"/>
        <v>50.573792132359408</v>
      </c>
      <c r="CO51" s="178">
        <f t="shared" si="13"/>
        <v>1</v>
      </c>
      <c r="CP51" s="178">
        <f t="shared" si="20"/>
        <v>6839.6100000000006</v>
      </c>
      <c r="CQ51" s="167">
        <f t="shared" si="21"/>
        <v>50.731401351831465</v>
      </c>
      <c r="CR51" s="185">
        <v>1</v>
      </c>
      <c r="CS51" s="185">
        <v>0</v>
      </c>
      <c r="CT51" s="185">
        <v>0</v>
      </c>
      <c r="CU51" s="185">
        <v>0</v>
      </c>
      <c r="CV51" s="185">
        <v>1</v>
      </c>
      <c r="CW51" s="185">
        <v>0</v>
      </c>
      <c r="CX51" s="185">
        <v>0</v>
      </c>
      <c r="CY51" s="185">
        <v>1</v>
      </c>
      <c r="CZ51" s="185">
        <v>0</v>
      </c>
      <c r="DA51" s="186">
        <v>353</v>
      </c>
      <c r="DB51" s="187">
        <v>182</v>
      </c>
      <c r="DC51" s="188">
        <v>171</v>
      </c>
      <c r="DD51" s="185">
        <v>73</v>
      </c>
      <c r="DE51" s="185">
        <v>49</v>
      </c>
      <c r="DF51" s="194">
        <v>182</v>
      </c>
      <c r="DG51" s="195">
        <v>49</v>
      </c>
      <c r="DH51" s="185">
        <v>49</v>
      </c>
      <c r="DI51" s="194">
        <v>182</v>
      </c>
      <c r="DJ51" s="195">
        <v>49</v>
      </c>
      <c r="DK51" s="195">
        <v>27</v>
      </c>
      <c r="DL51" s="195">
        <v>23</v>
      </c>
      <c r="DM51" s="186">
        <v>171</v>
      </c>
      <c r="DN51" s="195">
        <v>23</v>
      </c>
      <c r="DO51" s="185">
        <v>23</v>
      </c>
      <c r="DP51" s="186">
        <v>171</v>
      </c>
      <c r="DQ51" s="185">
        <v>23</v>
      </c>
      <c r="DR51" s="184">
        <f t="shared" si="14"/>
        <v>353</v>
      </c>
      <c r="DS51" s="185">
        <v>353</v>
      </c>
    </row>
    <row r="52" spans="1:123" s="106" customFormat="1">
      <c r="A52" s="94" t="s">
        <v>98</v>
      </c>
      <c r="B52" s="95">
        <v>46</v>
      </c>
      <c r="C52" s="94" t="s">
        <v>137</v>
      </c>
      <c r="D52" s="96">
        <v>1965</v>
      </c>
      <c r="E52" s="97"/>
      <c r="F52" s="94" t="s">
        <v>106</v>
      </c>
      <c r="G52" s="98">
        <v>1</v>
      </c>
      <c r="H52" s="99">
        <v>5</v>
      </c>
      <c r="I52" s="97" t="s">
        <v>100</v>
      </c>
      <c r="J52" s="98">
        <v>13350</v>
      </c>
      <c r="K52" s="98">
        <v>977</v>
      </c>
      <c r="L52" s="98">
        <v>1122</v>
      </c>
      <c r="M52" s="98"/>
      <c r="N52" s="98">
        <f>128+1</f>
        <v>129</v>
      </c>
      <c r="O52" s="98">
        <f>128+1</f>
        <v>129</v>
      </c>
      <c r="P52" s="98">
        <v>129</v>
      </c>
      <c r="Q52" s="72">
        <v>129</v>
      </c>
      <c r="R52" s="100">
        <f>2393.1+23.4</f>
        <v>2416.5</v>
      </c>
      <c r="S52" s="100">
        <v>1712.26</v>
      </c>
      <c r="T52" s="22">
        <f t="shared" si="0"/>
        <v>11</v>
      </c>
      <c r="U52" s="215">
        <f t="shared" si="15"/>
        <v>8.859921373887851E-2</v>
      </c>
      <c r="V52" s="87">
        <f t="shared" si="1"/>
        <v>214.09999999999991</v>
      </c>
      <c r="W52" s="87">
        <f t="shared" si="2"/>
        <v>145.79999999999995</v>
      </c>
      <c r="X52" s="22">
        <v>118</v>
      </c>
      <c r="Y52" s="215">
        <f t="shared" si="16"/>
        <v>0.91140078626112153</v>
      </c>
      <c r="Z52" s="170">
        <v>2202.4</v>
      </c>
      <c r="AA52" s="170">
        <v>1566.46</v>
      </c>
      <c r="AB52" s="102"/>
      <c r="AC52" s="102"/>
      <c r="AD52" s="102"/>
      <c r="AE52" s="170">
        <f t="shared" si="17"/>
        <v>187.1</v>
      </c>
      <c r="AF52" s="100">
        <f t="shared" si="18"/>
        <v>187.1</v>
      </c>
      <c r="AG52" s="103"/>
      <c r="AH52" s="100">
        <f>210.5-23.4</f>
        <v>187.1</v>
      </c>
      <c r="AI52" s="103"/>
      <c r="AJ52" s="102"/>
      <c r="AK52" s="197">
        <f t="shared" si="3"/>
        <v>2603.6</v>
      </c>
      <c r="AL52" s="98"/>
      <c r="AM52" s="98"/>
      <c r="AN52" s="98">
        <v>3</v>
      </c>
      <c r="AO52" s="98">
        <v>1</v>
      </c>
      <c r="AP52" s="98"/>
      <c r="AQ52" s="98">
        <v>1</v>
      </c>
      <c r="AR52" s="98">
        <v>2433</v>
      </c>
      <c r="AS52" s="98"/>
      <c r="AT52" s="98">
        <v>225</v>
      </c>
      <c r="AU52" s="104">
        <v>299</v>
      </c>
      <c r="AV52" s="98">
        <v>376</v>
      </c>
      <c r="AW52" s="98">
        <v>1891</v>
      </c>
      <c r="AX52" s="98"/>
      <c r="AY52" s="98">
        <v>1891</v>
      </c>
      <c r="AZ52" s="98"/>
      <c r="BA52" s="98">
        <v>121</v>
      </c>
      <c r="BB52" s="98">
        <v>920</v>
      </c>
      <c r="BC52" s="98">
        <v>920</v>
      </c>
      <c r="BD52" s="98">
        <v>14</v>
      </c>
      <c r="BE52" s="98">
        <v>42</v>
      </c>
      <c r="BF52" s="98">
        <v>215</v>
      </c>
      <c r="BG52" s="98">
        <v>670</v>
      </c>
      <c r="BH52" s="98">
        <v>1</v>
      </c>
      <c r="BI52" s="98">
        <v>3932</v>
      </c>
      <c r="BJ52" s="98">
        <v>101</v>
      </c>
      <c r="BK52" s="98"/>
      <c r="BL52" s="98">
        <f>G52</f>
        <v>1</v>
      </c>
      <c r="BM52" s="98">
        <f>R52</f>
        <v>2416.5</v>
      </c>
      <c r="BN52" s="98">
        <f>S52</f>
        <v>1712.26</v>
      </c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>
        <f>AR52</f>
        <v>2433</v>
      </c>
      <c r="CA52" s="172">
        <v>601.1</v>
      </c>
      <c r="CB52" s="172">
        <v>601.1</v>
      </c>
      <c r="CC52" s="14">
        <v>3363</v>
      </c>
      <c r="CD52" s="14">
        <f t="shared" si="5"/>
        <v>2386</v>
      </c>
      <c r="CE52" s="54" t="str">
        <f t="shared" si="24"/>
        <v>0</v>
      </c>
      <c r="CF52" s="55">
        <f t="shared" si="7"/>
        <v>0</v>
      </c>
      <c r="CG52" s="54">
        <f t="shared" si="8"/>
        <v>1</v>
      </c>
      <c r="CH52" s="55">
        <f t="shared" si="9"/>
        <v>1891</v>
      </c>
      <c r="CI52" s="55">
        <f t="shared" si="34"/>
        <v>1</v>
      </c>
      <c r="CJ52" s="55">
        <f t="shared" si="34"/>
        <v>1891</v>
      </c>
      <c r="CK52" s="105">
        <v>66</v>
      </c>
      <c r="CL52" s="57">
        <f t="shared" si="10"/>
        <v>1</v>
      </c>
      <c r="CM52" s="57">
        <f t="shared" si="11"/>
        <v>2416.5</v>
      </c>
      <c r="CN52" s="167">
        <f t="shared" si="12"/>
        <v>91.140078626112157</v>
      </c>
      <c r="CO52" s="178">
        <f t="shared" si="13"/>
        <v>1</v>
      </c>
      <c r="CP52" s="178">
        <f t="shared" si="20"/>
        <v>2603.6</v>
      </c>
      <c r="CQ52" s="167">
        <f t="shared" si="21"/>
        <v>91.776770625288066</v>
      </c>
      <c r="CR52" s="185">
        <v>1</v>
      </c>
      <c r="CS52" s="185">
        <v>0</v>
      </c>
      <c r="CT52" s="185">
        <v>0</v>
      </c>
      <c r="CU52" s="185">
        <v>0</v>
      </c>
      <c r="CV52" s="185">
        <v>1</v>
      </c>
      <c r="CW52" s="185">
        <v>0</v>
      </c>
      <c r="CX52" s="185">
        <v>0</v>
      </c>
      <c r="CY52" s="185">
        <v>1</v>
      </c>
      <c r="CZ52" s="185">
        <v>0</v>
      </c>
      <c r="DA52" s="186">
        <v>128</v>
      </c>
      <c r="DB52" s="187">
        <v>27</v>
      </c>
      <c r="DC52" s="188">
        <v>101</v>
      </c>
      <c r="DD52" s="185">
        <v>9</v>
      </c>
      <c r="DE52" s="185">
        <v>1</v>
      </c>
      <c r="DF52" s="194">
        <v>27</v>
      </c>
      <c r="DG52" s="195">
        <v>1</v>
      </c>
      <c r="DH52" s="185">
        <v>1</v>
      </c>
      <c r="DI52" s="194">
        <v>27</v>
      </c>
      <c r="DJ52" s="195">
        <v>1</v>
      </c>
      <c r="DK52" s="195">
        <v>77</v>
      </c>
      <c r="DL52" s="195">
        <v>0</v>
      </c>
      <c r="DM52" s="186">
        <v>101</v>
      </c>
      <c r="DN52" s="195">
        <v>0</v>
      </c>
      <c r="DO52" s="185">
        <v>0</v>
      </c>
      <c r="DP52" s="186">
        <v>101</v>
      </c>
      <c r="DQ52" s="185">
        <v>0</v>
      </c>
      <c r="DR52" s="184">
        <f t="shared" si="14"/>
        <v>128</v>
      </c>
      <c r="DS52" s="185">
        <v>128</v>
      </c>
    </row>
    <row r="53" spans="1:123" s="93" customFormat="1">
      <c r="A53" s="78" t="s">
        <v>98</v>
      </c>
      <c r="B53" s="79">
        <v>47</v>
      </c>
      <c r="C53" s="78" t="s">
        <v>138</v>
      </c>
      <c r="D53" s="80">
        <v>1978</v>
      </c>
      <c r="E53" s="81"/>
      <c r="F53" s="82" t="s">
        <v>107</v>
      </c>
      <c r="G53" s="83">
        <v>1</v>
      </c>
      <c r="H53" s="84">
        <v>9</v>
      </c>
      <c r="I53" s="81" t="s">
        <v>99</v>
      </c>
      <c r="J53" s="83">
        <v>28812</v>
      </c>
      <c r="K53" s="83">
        <v>1226</v>
      </c>
      <c r="L53" s="83">
        <v>1398</v>
      </c>
      <c r="M53" s="83"/>
      <c r="N53" s="83">
        <f>318+1+1</f>
        <v>320</v>
      </c>
      <c r="O53" s="83">
        <f>318+1+1</f>
        <v>320</v>
      </c>
      <c r="P53" s="83">
        <v>319</v>
      </c>
      <c r="Q53" s="72">
        <v>538</v>
      </c>
      <c r="R53" s="89">
        <f>6140.77+16.29+21.74</f>
        <v>6178.8</v>
      </c>
      <c r="S53" s="89">
        <f>4408.61+16.42</f>
        <v>4425.03</v>
      </c>
      <c r="T53" s="22">
        <f t="shared" si="0"/>
        <v>164</v>
      </c>
      <c r="U53" s="215">
        <f t="shared" si="15"/>
        <v>0.50647051207354177</v>
      </c>
      <c r="V53" s="87">
        <f t="shared" si="1"/>
        <v>3129.38</v>
      </c>
      <c r="W53" s="87">
        <f t="shared" si="2"/>
        <v>2241.5199999999995</v>
      </c>
      <c r="X53" s="22">
        <v>156</v>
      </c>
      <c r="Y53" s="215">
        <f t="shared" si="16"/>
        <v>0.49352948792645823</v>
      </c>
      <c r="Z53" s="170">
        <v>3049.42</v>
      </c>
      <c r="AA53" s="170">
        <v>2183.5100000000002</v>
      </c>
      <c r="AB53" s="88"/>
      <c r="AC53" s="88"/>
      <c r="AD53" s="88"/>
      <c r="AE53" s="170">
        <f t="shared" si="17"/>
        <v>42.790000000000006</v>
      </c>
      <c r="AF53" s="89">
        <f t="shared" si="18"/>
        <v>42.790000000000006</v>
      </c>
      <c r="AG53" s="90"/>
      <c r="AH53" s="89">
        <f>97.38-16.29-16.56-21.74</f>
        <v>42.790000000000006</v>
      </c>
      <c r="AI53" s="90"/>
      <c r="AJ53" s="88"/>
      <c r="AK53" s="196">
        <f t="shared" si="3"/>
        <v>6221.59</v>
      </c>
      <c r="AL53" s="83"/>
      <c r="AM53" s="83">
        <v>2</v>
      </c>
      <c r="AN53" s="83">
        <v>2</v>
      </c>
      <c r="AO53" s="83">
        <v>1</v>
      </c>
      <c r="AP53" s="83"/>
      <c r="AQ53" s="83">
        <v>1</v>
      </c>
      <c r="AR53" s="83">
        <v>4300</v>
      </c>
      <c r="AS53" s="83"/>
      <c r="AT53" s="83">
        <v>360</v>
      </c>
      <c r="AU53" s="91">
        <v>384</v>
      </c>
      <c r="AV53" s="83">
        <v>1305</v>
      </c>
      <c r="AW53" s="83">
        <v>9331</v>
      </c>
      <c r="AX53" s="83"/>
      <c r="AY53" s="83">
        <v>9331</v>
      </c>
      <c r="AZ53" s="83">
        <v>3263</v>
      </c>
      <c r="BA53" s="83">
        <v>224</v>
      </c>
      <c r="BB53" s="83">
        <v>1187</v>
      </c>
      <c r="BC53" s="83">
        <v>1187</v>
      </c>
      <c r="BD53" s="83">
        <v>70</v>
      </c>
      <c r="BE53" s="83">
        <v>54</v>
      </c>
      <c r="BF53" s="83">
        <v>386</v>
      </c>
      <c r="BG53" s="83">
        <v>1077</v>
      </c>
      <c r="BH53" s="83">
        <v>1</v>
      </c>
      <c r="BI53" s="83">
        <v>8789</v>
      </c>
      <c r="BJ53" s="83">
        <v>225</v>
      </c>
      <c r="BK53" s="83">
        <v>200</v>
      </c>
      <c r="BL53" s="83"/>
      <c r="BM53" s="83"/>
      <c r="BN53" s="83"/>
      <c r="BO53" s="83">
        <f>G53</f>
        <v>1</v>
      </c>
      <c r="BP53" s="83">
        <f>R53</f>
        <v>6178.8</v>
      </c>
      <c r="BQ53" s="83">
        <f>S53</f>
        <v>4425.03</v>
      </c>
      <c r="BR53" s="83"/>
      <c r="BS53" s="83"/>
      <c r="BT53" s="83"/>
      <c r="BU53" s="83"/>
      <c r="BV53" s="83"/>
      <c r="BW53" s="83"/>
      <c r="BX53" s="83"/>
      <c r="BY53" s="83">
        <v>20</v>
      </c>
      <c r="BZ53" s="83"/>
      <c r="CA53" s="172">
        <v>1791.72</v>
      </c>
      <c r="CB53" s="172">
        <v>1791.72</v>
      </c>
      <c r="CC53" s="14">
        <v>3048</v>
      </c>
      <c r="CD53" s="14">
        <f t="shared" si="5"/>
        <v>1822</v>
      </c>
      <c r="CE53" s="54" t="str">
        <f t="shared" si="24"/>
        <v>0</v>
      </c>
      <c r="CF53" s="55">
        <f t="shared" si="7"/>
        <v>0</v>
      </c>
      <c r="CG53" s="54">
        <f t="shared" si="8"/>
        <v>1</v>
      </c>
      <c r="CH53" s="55">
        <f t="shared" si="9"/>
        <v>9331</v>
      </c>
      <c r="CI53" s="55">
        <f t="shared" si="34"/>
        <v>1</v>
      </c>
      <c r="CJ53" s="55">
        <f t="shared" si="34"/>
        <v>9331</v>
      </c>
      <c r="CK53" s="92">
        <v>77</v>
      </c>
      <c r="CL53" s="57" t="str">
        <f t="shared" si="10"/>
        <v>0</v>
      </c>
      <c r="CM53" s="57" t="str">
        <f t="shared" si="11"/>
        <v>0</v>
      </c>
      <c r="CN53" s="167">
        <f t="shared" si="12"/>
        <v>49.352948792645826</v>
      </c>
      <c r="CO53" s="178" t="str">
        <f t="shared" si="13"/>
        <v>0</v>
      </c>
      <c r="CP53" s="178" t="str">
        <f t="shared" si="20"/>
        <v>0</v>
      </c>
      <c r="CQ53" s="167">
        <f t="shared" si="21"/>
        <v>49.701282148132556</v>
      </c>
      <c r="CR53" s="185">
        <v>1</v>
      </c>
      <c r="CS53" s="185">
        <v>0</v>
      </c>
      <c r="CT53" s="185">
        <v>0</v>
      </c>
      <c r="CU53" s="185">
        <v>1</v>
      </c>
      <c r="CV53" s="185">
        <v>2</v>
      </c>
      <c r="CW53" s="185">
        <v>0</v>
      </c>
      <c r="CX53" s="185">
        <v>0</v>
      </c>
      <c r="CY53" s="185">
        <v>1</v>
      </c>
      <c r="CZ53" s="185">
        <v>0</v>
      </c>
      <c r="DA53" s="186">
        <v>319</v>
      </c>
      <c r="DB53" s="187">
        <v>170</v>
      </c>
      <c r="DC53" s="188">
        <v>149</v>
      </c>
      <c r="DD53" s="185">
        <v>93</v>
      </c>
      <c r="DE53" s="185">
        <v>57</v>
      </c>
      <c r="DF53" s="194">
        <v>170</v>
      </c>
      <c r="DG53" s="195">
        <v>57</v>
      </c>
      <c r="DH53" s="185">
        <v>57</v>
      </c>
      <c r="DI53" s="194">
        <v>170</v>
      </c>
      <c r="DJ53" s="195">
        <v>57</v>
      </c>
      <c r="DK53" s="195">
        <v>50</v>
      </c>
      <c r="DL53" s="195">
        <v>39</v>
      </c>
      <c r="DM53" s="186">
        <v>149</v>
      </c>
      <c r="DN53" s="195">
        <v>39</v>
      </c>
      <c r="DO53" s="185">
        <v>39</v>
      </c>
      <c r="DP53" s="186">
        <v>149</v>
      </c>
      <c r="DQ53" s="185">
        <v>39</v>
      </c>
      <c r="DR53" s="184">
        <f t="shared" si="14"/>
        <v>319</v>
      </c>
      <c r="DS53" s="185">
        <v>319</v>
      </c>
    </row>
    <row r="54" spans="1:123" s="106" customFormat="1">
      <c r="A54" s="94" t="s">
        <v>98</v>
      </c>
      <c r="B54" s="95">
        <v>48</v>
      </c>
      <c r="C54" s="94" t="s">
        <v>139</v>
      </c>
      <c r="D54" s="96">
        <v>1964</v>
      </c>
      <c r="E54" s="97"/>
      <c r="F54" s="94" t="s">
        <v>106</v>
      </c>
      <c r="G54" s="98">
        <v>1</v>
      </c>
      <c r="H54" s="99">
        <v>5</v>
      </c>
      <c r="I54" s="97" t="s">
        <v>100</v>
      </c>
      <c r="J54" s="98">
        <v>14301</v>
      </c>
      <c r="K54" s="98">
        <v>1023</v>
      </c>
      <c r="L54" s="98">
        <v>1182</v>
      </c>
      <c r="M54" s="98"/>
      <c r="N54" s="213">
        <f>71+1+34</f>
        <v>106</v>
      </c>
      <c r="O54" s="98">
        <f>71+36+34</f>
        <v>141</v>
      </c>
      <c r="P54" s="98">
        <v>29</v>
      </c>
      <c r="Q54" s="72">
        <v>5</v>
      </c>
      <c r="R54" s="100">
        <f>1145.84+768.8+612.7</f>
        <v>2527.34</v>
      </c>
      <c r="S54" s="100">
        <v>1726.5</v>
      </c>
      <c r="T54" s="15">
        <f t="shared" si="0"/>
        <v>2</v>
      </c>
      <c r="U54" s="215">
        <f t="shared" si="15"/>
        <v>1.0576337176636402E-2</v>
      </c>
      <c r="V54" s="87">
        <f t="shared" si="1"/>
        <v>26.730000000000246</v>
      </c>
      <c r="W54" s="87">
        <f t="shared" si="2"/>
        <v>26.730000000000132</v>
      </c>
      <c r="X54" s="22">
        <v>103</v>
      </c>
      <c r="Y54" s="215">
        <f t="shared" si="16"/>
        <v>0.68523032120727712</v>
      </c>
      <c r="Z54" s="170">
        <v>1731.81</v>
      </c>
      <c r="AA54" s="170">
        <v>1119.0899999999999</v>
      </c>
      <c r="AB54" s="98">
        <v>1</v>
      </c>
      <c r="AC54" s="102">
        <v>768.8</v>
      </c>
      <c r="AD54" s="102">
        <v>580.67999999999995</v>
      </c>
      <c r="AE54" s="170">
        <f t="shared" si="17"/>
        <v>288.63</v>
      </c>
      <c r="AF54" s="100">
        <f t="shared" si="18"/>
        <v>90.13</v>
      </c>
      <c r="AG54" s="103"/>
      <c r="AH54" s="100">
        <f>708.6-5.77-612.7</f>
        <v>90.13</v>
      </c>
      <c r="AI54" s="103">
        <f>961.53+5.77-768.8</f>
        <v>198.5</v>
      </c>
      <c r="AJ54" s="102"/>
      <c r="AK54" s="197">
        <f t="shared" si="3"/>
        <v>2815.9700000000003</v>
      </c>
      <c r="AL54" s="98"/>
      <c r="AM54" s="98"/>
      <c r="AN54" s="98">
        <v>2</v>
      </c>
      <c r="AO54" s="98">
        <v>1</v>
      </c>
      <c r="AP54" s="98"/>
      <c r="AQ54" s="98">
        <v>1</v>
      </c>
      <c r="AR54" s="98">
        <v>2060</v>
      </c>
      <c r="AS54" s="98"/>
      <c r="AT54" s="98">
        <v>306</v>
      </c>
      <c r="AU54" s="104">
        <v>270</v>
      </c>
      <c r="AV54" s="98">
        <v>582</v>
      </c>
      <c r="AW54" s="98">
        <v>2093</v>
      </c>
      <c r="AX54" s="98"/>
      <c r="AY54" s="98">
        <v>2093</v>
      </c>
      <c r="AZ54" s="98"/>
      <c r="BA54" s="98">
        <v>114</v>
      </c>
      <c r="BB54" s="98">
        <v>1000</v>
      </c>
      <c r="BC54" s="98">
        <v>1000</v>
      </c>
      <c r="BD54" s="98">
        <v>27</v>
      </c>
      <c r="BE54" s="98">
        <v>19</v>
      </c>
      <c r="BF54" s="98">
        <v>195</v>
      </c>
      <c r="BG54" s="98">
        <v>257</v>
      </c>
      <c r="BH54" s="98">
        <v>1</v>
      </c>
      <c r="BI54" s="98">
        <v>3932</v>
      </c>
      <c r="BJ54" s="98">
        <v>101</v>
      </c>
      <c r="BK54" s="98"/>
      <c r="BL54" s="98">
        <f>G54</f>
        <v>1</v>
      </c>
      <c r="BM54" s="98">
        <f>R54</f>
        <v>2527.34</v>
      </c>
      <c r="BN54" s="98">
        <f>S54</f>
        <v>1726.5</v>
      </c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>
        <f>AR54</f>
        <v>2060</v>
      </c>
      <c r="CA54" s="172">
        <v>847.27</v>
      </c>
      <c r="CB54" s="172">
        <v>847.27</v>
      </c>
      <c r="CC54" s="14">
        <v>2692</v>
      </c>
      <c r="CD54" s="14">
        <f t="shared" si="5"/>
        <v>1669</v>
      </c>
      <c r="CE54" s="54" t="str">
        <f t="shared" si="24"/>
        <v>0</v>
      </c>
      <c r="CF54" s="55">
        <f t="shared" si="7"/>
        <v>0</v>
      </c>
      <c r="CG54" s="54">
        <f t="shared" si="8"/>
        <v>1</v>
      </c>
      <c r="CH54" s="55">
        <f t="shared" si="9"/>
        <v>2093</v>
      </c>
      <c r="CI54" s="55">
        <f t="shared" si="34"/>
        <v>1</v>
      </c>
      <c r="CJ54" s="55">
        <f t="shared" si="34"/>
        <v>2093</v>
      </c>
      <c r="CK54" s="105">
        <v>49</v>
      </c>
      <c r="CL54" s="57">
        <f t="shared" si="10"/>
        <v>1</v>
      </c>
      <c r="CM54" s="57">
        <f t="shared" si="11"/>
        <v>2527.34</v>
      </c>
      <c r="CN54" s="167">
        <f t="shared" si="12"/>
        <v>68.523032120727706</v>
      </c>
      <c r="CO54" s="178">
        <f t="shared" si="13"/>
        <v>1</v>
      </c>
      <c r="CP54" s="178">
        <f t="shared" si="20"/>
        <v>2815.9700000000003</v>
      </c>
      <c r="CQ54" s="167">
        <f t="shared" si="21"/>
        <v>64.700263142007898</v>
      </c>
      <c r="CR54" s="185">
        <v>1</v>
      </c>
      <c r="CS54" s="185">
        <v>0</v>
      </c>
      <c r="CT54" s="185">
        <v>0</v>
      </c>
      <c r="CU54" s="185">
        <v>0</v>
      </c>
      <c r="CV54" s="185">
        <v>1</v>
      </c>
      <c r="CW54" s="185">
        <v>0</v>
      </c>
      <c r="CX54" s="185">
        <v>0</v>
      </c>
      <c r="CY54" s="185">
        <v>0</v>
      </c>
      <c r="CZ54" s="185">
        <v>0</v>
      </c>
      <c r="DA54" s="186">
        <v>106</v>
      </c>
      <c r="DB54" s="187">
        <v>1</v>
      </c>
      <c r="DC54" s="188">
        <v>70</v>
      </c>
      <c r="DD54" s="185">
        <v>0</v>
      </c>
      <c r="DE54" s="185">
        <v>0</v>
      </c>
      <c r="DF54" s="195">
        <v>1</v>
      </c>
      <c r="DG54" s="195">
        <v>0</v>
      </c>
      <c r="DH54" s="185">
        <v>0</v>
      </c>
      <c r="DI54" s="195">
        <v>1</v>
      </c>
      <c r="DJ54" s="195">
        <v>0</v>
      </c>
      <c r="DK54" s="195">
        <v>1</v>
      </c>
      <c r="DL54" s="195">
        <v>0</v>
      </c>
      <c r="DM54" s="186">
        <v>70</v>
      </c>
      <c r="DN54" s="195">
        <v>0</v>
      </c>
      <c r="DO54" s="185">
        <v>0</v>
      </c>
      <c r="DP54" s="186">
        <v>70</v>
      </c>
      <c r="DQ54" s="185">
        <v>0</v>
      </c>
      <c r="DR54" s="184">
        <f t="shared" si="14"/>
        <v>106</v>
      </c>
      <c r="DS54" s="185">
        <v>71</v>
      </c>
    </row>
    <row r="55" spans="1:123" ht="16.149999999999999" hidden="1" customHeight="1" outlineLevel="1">
      <c r="A55" s="43"/>
      <c r="B55" s="108"/>
      <c r="C55" s="109"/>
      <c r="D55" s="110"/>
      <c r="E55" s="111"/>
      <c r="F55" s="111"/>
      <c r="G55" s="112"/>
      <c r="H55" s="111"/>
      <c r="I55" s="46"/>
      <c r="J55" s="113"/>
      <c r="K55" s="113"/>
      <c r="L55" s="113"/>
      <c r="M55" s="113"/>
      <c r="N55" s="113"/>
      <c r="O55" s="113"/>
      <c r="P55" s="113"/>
      <c r="Q55" s="114"/>
      <c r="R55" s="115"/>
      <c r="S55" s="115"/>
      <c r="T55" s="113"/>
      <c r="U55" s="215" t="e">
        <f t="shared" si="15"/>
        <v>#DIV/0!</v>
      </c>
      <c r="V55" s="116"/>
      <c r="W55" s="116"/>
      <c r="X55" s="117"/>
      <c r="Y55" s="215" t="e">
        <f t="shared" si="16"/>
        <v>#DIV/0!</v>
      </c>
      <c r="Z55" s="179"/>
      <c r="AA55" s="179"/>
      <c r="AB55" s="118"/>
      <c r="AC55" s="118"/>
      <c r="AD55" s="118"/>
      <c r="AE55" s="118"/>
      <c r="AF55" s="115"/>
      <c r="AG55" s="119"/>
      <c r="AH55" s="119"/>
      <c r="AI55" s="119"/>
      <c r="AJ55" s="119"/>
      <c r="AK55" s="174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20"/>
      <c r="CB55" s="120"/>
      <c r="CK55" s="41"/>
      <c r="CL55" s="42"/>
      <c r="CM55" s="42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</row>
    <row r="56" spans="1:123" ht="13.15" hidden="1" customHeight="1" outlineLevel="1">
      <c r="A56" s="41"/>
      <c r="B56" s="121"/>
      <c r="C56" s="41"/>
      <c r="D56" s="41"/>
      <c r="E56" s="41"/>
      <c r="F56" s="41"/>
      <c r="G56" s="41"/>
      <c r="H56" s="121"/>
      <c r="I56" s="121"/>
      <c r="J56" s="41"/>
      <c r="K56" s="41"/>
      <c r="L56" s="41"/>
      <c r="M56" s="41"/>
      <c r="N56" s="41"/>
      <c r="O56" s="41"/>
      <c r="P56" s="41"/>
      <c r="Q56" s="42"/>
      <c r="R56" s="122"/>
      <c r="S56" s="122"/>
      <c r="T56" s="41"/>
      <c r="U56" s="215" t="e">
        <f t="shared" si="15"/>
        <v>#DIV/0!</v>
      </c>
      <c r="V56" s="41"/>
      <c r="W56" s="41"/>
      <c r="X56" s="41"/>
      <c r="Y56" s="215" t="e">
        <f t="shared" si="16"/>
        <v>#DIV/0!</v>
      </c>
      <c r="Z56" s="177"/>
      <c r="AA56" s="177"/>
      <c r="AB56" s="41"/>
      <c r="AC56" s="41"/>
      <c r="AD56" s="41"/>
      <c r="AE56" s="123"/>
      <c r="AF56" s="122"/>
      <c r="AG56" s="41"/>
      <c r="AH56" s="41"/>
      <c r="AI56" s="41"/>
      <c r="AJ56" s="41"/>
      <c r="AK56" s="177"/>
      <c r="AL56" s="41"/>
      <c r="AM56" s="41"/>
      <c r="AN56" s="41"/>
      <c r="AO56" s="41"/>
      <c r="AP56" s="41"/>
      <c r="AQ56" s="41"/>
      <c r="AR56" s="41"/>
      <c r="AS56" s="41"/>
      <c r="AT56" s="41"/>
      <c r="AU56" s="12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K56" s="41"/>
      <c r="CL56" s="42"/>
      <c r="CM56" s="42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</row>
    <row r="57" spans="1:123" hidden="1" outlineLevel="1">
      <c r="A57" s="41"/>
      <c r="B57" s="121"/>
      <c r="C57" s="41"/>
      <c r="D57" s="41"/>
      <c r="E57" s="41"/>
      <c r="F57" s="41"/>
      <c r="G57" s="41"/>
      <c r="H57" s="121"/>
      <c r="I57" s="121"/>
      <c r="J57" s="41"/>
      <c r="K57" s="41"/>
      <c r="L57" s="41"/>
      <c r="M57" s="41"/>
      <c r="N57" s="41"/>
      <c r="O57" s="41"/>
      <c r="P57" s="41"/>
      <c r="Q57" s="42"/>
      <c r="R57" s="122"/>
      <c r="S57" s="122"/>
      <c r="T57" s="41"/>
      <c r="U57" s="215" t="e">
        <f t="shared" si="15"/>
        <v>#DIV/0!</v>
      </c>
      <c r="V57" s="41"/>
      <c r="W57" s="41"/>
      <c r="X57" s="41"/>
      <c r="Y57" s="215" t="e">
        <f t="shared" si="16"/>
        <v>#DIV/0!</v>
      </c>
      <c r="Z57" s="177"/>
      <c r="AA57" s="177"/>
      <c r="AB57" s="41"/>
      <c r="AC57" s="41"/>
      <c r="AD57" s="41"/>
      <c r="AE57" s="123"/>
      <c r="AF57" s="122"/>
      <c r="AG57" s="41"/>
      <c r="AH57" s="41"/>
      <c r="AI57" s="41"/>
      <c r="AJ57" s="41"/>
      <c r="AK57" s="177"/>
      <c r="AL57" s="41"/>
      <c r="AM57" s="41"/>
      <c r="AN57" s="41"/>
      <c r="AO57" s="41"/>
      <c r="AP57" s="41"/>
      <c r="AQ57" s="41"/>
      <c r="AR57" s="41"/>
      <c r="AS57" s="41"/>
      <c r="AT57" s="41"/>
      <c r="AU57" s="12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K57" s="41"/>
      <c r="CL57" s="42"/>
      <c r="CM57" s="42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</row>
    <row r="58" spans="1:123" hidden="1" outlineLevel="1">
      <c r="A58" s="41"/>
      <c r="B58" s="121"/>
      <c r="C58" s="41"/>
      <c r="D58" s="41"/>
      <c r="E58" s="41"/>
      <c r="F58" s="41"/>
      <c r="G58" s="41"/>
      <c r="H58" s="121"/>
      <c r="I58" s="121"/>
      <c r="J58" s="41"/>
      <c r="K58" s="41"/>
      <c r="L58" s="41"/>
      <c r="M58" s="41"/>
      <c r="N58" s="41"/>
      <c r="O58" s="41"/>
      <c r="P58" s="41"/>
      <c r="Q58" s="42"/>
      <c r="R58" s="122"/>
      <c r="S58" s="122"/>
      <c r="T58" s="41"/>
      <c r="U58" s="215" t="e">
        <f t="shared" si="15"/>
        <v>#DIV/0!</v>
      </c>
      <c r="V58" s="41"/>
      <c r="W58" s="41"/>
      <c r="X58" s="41"/>
      <c r="Y58" s="215" t="e">
        <f t="shared" si="16"/>
        <v>#DIV/0!</v>
      </c>
      <c r="Z58" s="177"/>
      <c r="AA58" s="177"/>
      <c r="AB58" s="41"/>
      <c r="AC58" s="41"/>
      <c r="AD58" s="41"/>
      <c r="AE58" s="123"/>
      <c r="AF58" s="122"/>
      <c r="AG58" s="41"/>
      <c r="AH58" s="41"/>
      <c r="AI58" s="41"/>
      <c r="AJ58" s="41"/>
      <c r="AK58" s="177"/>
      <c r="AL58" s="41"/>
      <c r="AM58" s="41"/>
      <c r="AN58" s="41"/>
      <c r="AO58" s="41"/>
      <c r="AP58" s="41"/>
      <c r="AQ58" s="41"/>
      <c r="AR58" s="41"/>
      <c r="AS58" s="41"/>
      <c r="AT58" s="41"/>
      <c r="AU58" s="12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K58" s="41"/>
      <c r="CL58" s="42"/>
      <c r="CM58" s="42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</row>
    <row r="59" spans="1:123" hidden="1" outlineLevel="1">
      <c r="A59" s="41"/>
      <c r="B59" s="121"/>
      <c r="C59" s="41"/>
      <c r="D59" s="41"/>
      <c r="E59" s="41"/>
      <c r="F59" s="41"/>
      <c r="G59" s="41"/>
      <c r="H59" s="121"/>
      <c r="I59" s="121"/>
      <c r="J59" s="41"/>
      <c r="K59" s="41"/>
      <c r="L59" s="41"/>
      <c r="M59" s="41"/>
      <c r="N59" s="41"/>
      <c r="O59" s="41"/>
      <c r="P59" s="41"/>
      <c r="Q59" s="42"/>
      <c r="R59" s="122"/>
      <c r="S59" s="122"/>
      <c r="T59" s="41"/>
      <c r="U59" s="215" t="e">
        <f t="shared" si="15"/>
        <v>#DIV/0!</v>
      </c>
      <c r="V59" s="41"/>
      <c r="W59" s="41"/>
      <c r="X59" s="41"/>
      <c r="Y59" s="215" t="e">
        <f t="shared" si="16"/>
        <v>#DIV/0!</v>
      </c>
      <c r="Z59" s="177"/>
      <c r="AA59" s="177"/>
      <c r="AB59" s="41"/>
      <c r="AC59" s="41"/>
      <c r="AD59" s="41"/>
      <c r="AE59" s="123"/>
      <c r="AF59" s="122"/>
      <c r="AG59" s="41"/>
      <c r="AH59" s="41"/>
      <c r="AI59" s="41"/>
      <c r="AJ59" s="41"/>
      <c r="AK59" s="177"/>
      <c r="AL59" s="41"/>
      <c r="AM59" s="41"/>
      <c r="AN59" s="41"/>
      <c r="AO59" s="41"/>
      <c r="AP59" s="41"/>
      <c r="AQ59" s="41"/>
      <c r="AR59" s="41"/>
      <c r="AS59" s="41"/>
      <c r="AT59" s="41"/>
      <c r="AU59" s="12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K59" s="41"/>
      <c r="CL59" s="42"/>
      <c r="CM59" s="42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</row>
    <row r="60" spans="1:123" hidden="1" outlineLevel="1">
      <c r="A60" s="41"/>
      <c r="B60" s="121"/>
      <c r="C60" s="41"/>
      <c r="D60" s="41"/>
      <c r="E60" s="41"/>
      <c r="F60" s="41"/>
      <c r="G60" s="41"/>
      <c r="H60" s="121"/>
      <c r="I60" s="121"/>
      <c r="J60" s="41"/>
      <c r="K60" s="41"/>
      <c r="L60" s="41"/>
      <c r="M60" s="41"/>
      <c r="N60" s="41"/>
      <c r="O60" s="41"/>
      <c r="P60" s="41"/>
      <c r="Q60" s="42"/>
      <c r="R60" s="122"/>
      <c r="S60" s="122"/>
      <c r="T60" s="41"/>
      <c r="U60" s="215" t="e">
        <f t="shared" si="15"/>
        <v>#DIV/0!</v>
      </c>
      <c r="V60" s="41"/>
      <c r="W60" s="41"/>
      <c r="X60" s="41"/>
      <c r="Y60" s="215" t="e">
        <f t="shared" si="16"/>
        <v>#DIV/0!</v>
      </c>
      <c r="Z60" s="177"/>
      <c r="AA60" s="177"/>
      <c r="AB60" s="41"/>
      <c r="AC60" s="41"/>
      <c r="AD60" s="41"/>
      <c r="AE60" s="123"/>
      <c r="AF60" s="122"/>
      <c r="AG60" s="41"/>
      <c r="AH60" s="41"/>
      <c r="AI60" s="41"/>
      <c r="AJ60" s="41"/>
      <c r="AK60" s="177"/>
      <c r="AL60" s="41"/>
      <c r="AM60" s="41"/>
      <c r="AN60" s="41"/>
      <c r="AO60" s="41"/>
      <c r="AP60" s="41"/>
      <c r="AQ60" s="41"/>
      <c r="AR60" s="41"/>
      <c r="AS60" s="41"/>
      <c r="AT60" s="41"/>
      <c r="AU60" s="12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K60" s="41"/>
      <c r="CL60" s="42"/>
      <c r="CM60" s="42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</row>
    <row r="61" spans="1:123" hidden="1" outlineLevel="1">
      <c r="A61" s="41"/>
      <c r="B61" s="121"/>
      <c r="C61" s="41"/>
      <c r="D61" s="41"/>
      <c r="E61" s="41"/>
      <c r="F61" s="41"/>
      <c r="G61" s="41"/>
      <c r="H61" s="121"/>
      <c r="I61" s="121"/>
      <c r="J61" s="41"/>
      <c r="K61" s="41"/>
      <c r="L61" s="41"/>
      <c r="M61" s="41"/>
      <c r="N61" s="41"/>
      <c r="O61" s="41"/>
      <c r="P61" s="41"/>
      <c r="Q61" s="42"/>
      <c r="R61" s="122"/>
      <c r="S61" s="122"/>
      <c r="T61" s="41"/>
      <c r="U61" s="215" t="e">
        <f t="shared" si="15"/>
        <v>#DIV/0!</v>
      </c>
      <c r="V61" s="41"/>
      <c r="W61" s="41"/>
      <c r="X61" s="41"/>
      <c r="Y61" s="215" t="e">
        <f t="shared" si="16"/>
        <v>#DIV/0!</v>
      </c>
      <c r="Z61" s="177"/>
      <c r="AA61" s="177"/>
      <c r="AB61" s="41"/>
      <c r="AC61" s="41"/>
      <c r="AD61" s="41"/>
      <c r="AE61" s="123"/>
      <c r="AF61" s="122"/>
      <c r="AG61" s="41"/>
      <c r="AH61" s="41"/>
      <c r="AI61" s="41"/>
      <c r="AJ61" s="41"/>
      <c r="AK61" s="177"/>
      <c r="AL61" s="41"/>
      <c r="AM61" s="41"/>
      <c r="AN61" s="41"/>
      <c r="AO61" s="41"/>
      <c r="AP61" s="41"/>
      <c r="AQ61" s="41"/>
      <c r="AR61" s="41"/>
      <c r="AS61" s="41"/>
      <c r="AT61" s="41"/>
      <c r="AU61" s="12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K61" s="41"/>
      <c r="CL61" s="42"/>
      <c r="CM61" s="42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</row>
    <row r="62" spans="1:123" hidden="1" outlineLevel="1">
      <c r="A62" s="41"/>
      <c r="B62" s="121"/>
      <c r="C62" s="41"/>
      <c r="D62" s="41"/>
      <c r="E62" s="41"/>
      <c r="F62" s="41"/>
      <c r="G62" s="41"/>
      <c r="H62" s="121"/>
      <c r="I62" s="121"/>
      <c r="J62" s="41"/>
      <c r="K62" s="41"/>
      <c r="L62" s="41"/>
      <c r="M62" s="41"/>
      <c r="N62" s="41"/>
      <c r="O62" s="41"/>
      <c r="P62" s="41"/>
      <c r="Q62" s="42"/>
      <c r="R62" s="122"/>
      <c r="S62" s="122"/>
      <c r="T62" s="41"/>
      <c r="U62" s="215" t="e">
        <f t="shared" si="15"/>
        <v>#DIV/0!</v>
      </c>
      <c r="V62" s="41"/>
      <c r="W62" s="41"/>
      <c r="X62" s="41"/>
      <c r="Y62" s="215" t="e">
        <f t="shared" si="16"/>
        <v>#DIV/0!</v>
      </c>
      <c r="Z62" s="177"/>
      <c r="AA62" s="177"/>
      <c r="AB62" s="41"/>
      <c r="AC62" s="41"/>
      <c r="AD62" s="41"/>
      <c r="AE62" s="123"/>
      <c r="AF62" s="122"/>
      <c r="AG62" s="41"/>
      <c r="AH62" s="41"/>
      <c r="AI62" s="41"/>
      <c r="AJ62" s="41"/>
      <c r="AK62" s="177"/>
      <c r="AL62" s="41"/>
      <c r="AM62" s="41"/>
      <c r="AN62" s="41"/>
      <c r="AO62" s="41"/>
      <c r="AP62" s="41"/>
      <c r="AQ62" s="41"/>
      <c r="AR62" s="41"/>
      <c r="AS62" s="41"/>
      <c r="AT62" s="41"/>
      <c r="AU62" s="12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K62" s="41"/>
      <c r="CL62" s="42"/>
      <c r="CM62" s="42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</row>
    <row r="63" spans="1:123" hidden="1" outlineLevel="1">
      <c r="A63" s="41"/>
      <c r="B63" s="121"/>
      <c r="C63" s="41"/>
      <c r="D63" s="41"/>
      <c r="E63" s="41"/>
      <c r="F63" s="41"/>
      <c r="G63" s="41"/>
      <c r="H63" s="121"/>
      <c r="I63" s="121"/>
      <c r="J63" s="41"/>
      <c r="K63" s="41"/>
      <c r="L63" s="41"/>
      <c r="M63" s="41"/>
      <c r="N63" s="41"/>
      <c r="O63" s="41"/>
      <c r="P63" s="41"/>
      <c r="Q63" s="42"/>
      <c r="R63" s="122"/>
      <c r="S63" s="122"/>
      <c r="T63" s="41"/>
      <c r="U63" s="215" t="e">
        <f t="shared" si="15"/>
        <v>#DIV/0!</v>
      </c>
      <c r="V63" s="41"/>
      <c r="W63" s="41"/>
      <c r="X63" s="41"/>
      <c r="Y63" s="215" t="e">
        <f t="shared" si="16"/>
        <v>#DIV/0!</v>
      </c>
      <c r="Z63" s="177"/>
      <c r="AA63" s="177"/>
      <c r="AB63" s="41"/>
      <c r="AC63" s="41"/>
      <c r="AD63" s="41"/>
      <c r="AE63" s="123"/>
      <c r="AF63" s="122"/>
      <c r="AG63" s="41"/>
      <c r="AH63" s="41"/>
      <c r="AI63" s="41"/>
      <c r="AJ63" s="41"/>
      <c r="AK63" s="177"/>
      <c r="AL63" s="41"/>
      <c r="AM63" s="41"/>
      <c r="AN63" s="41"/>
      <c r="AO63" s="41"/>
      <c r="AP63" s="41"/>
      <c r="AQ63" s="41"/>
      <c r="AR63" s="41"/>
      <c r="AS63" s="41"/>
      <c r="AT63" s="41"/>
      <c r="AU63" s="12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K63" s="41"/>
      <c r="CL63" s="42"/>
      <c r="CM63" s="42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</row>
    <row r="64" spans="1:123" hidden="1" outlineLevel="1">
      <c r="A64" s="41"/>
      <c r="B64" s="121"/>
      <c r="C64" s="41"/>
      <c r="D64" s="41"/>
      <c r="E64" s="41"/>
      <c r="F64" s="41"/>
      <c r="G64" s="41"/>
      <c r="H64" s="121"/>
      <c r="I64" s="121"/>
      <c r="J64" s="41"/>
      <c r="K64" s="41"/>
      <c r="L64" s="41"/>
      <c r="M64" s="41"/>
      <c r="N64" s="41"/>
      <c r="O64" s="41"/>
      <c r="P64" s="41"/>
      <c r="Q64" s="42"/>
      <c r="R64" s="122"/>
      <c r="S64" s="122"/>
      <c r="T64" s="41"/>
      <c r="U64" s="215" t="e">
        <f t="shared" si="15"/>
        <v>#DIV/0!</v>
      </c>
      <c r="V64" s="41"/>
      <c r="W64" s="41"/>
      <c r="X64" s="41"/>
      <c r="Y64" s="215" t="e">
        <f t="shared" si="16"/>
        <v>#DIV/0!</v>
      </c>
      <c r="Z64" s="177"/>
      <c r="AA64" s="177"/>
      <c r="AB64" s="41"/>
      <c r="AC64" s="41"/>
      <c r="AD64" s="41"/>
      <c r="AE64" s="123"/>
      <c r="AF64" s="122"/>
      <c r="AG64" s="41"/>
      <c r="AH64" s="41"/>
      <c r="AI64" s="41"/>
      <c r="AJ64" s="41"/>
      <c r="AK64" s="177"/>
      <c r="AL64" s="41"/>
      <c r="AM64" s="41"/>
      <c r="AN64" s="41"/>
      <c r="AO64" s="41"/>
      <c r="AP64" s="41"/>
      <c r="AQ64" s="41"/>
      <c r="AR64" s="41"/>
      <c r="AS64" s="41"/>
      <c r="AT64" s="41"/>
      <c r="AU64" s="12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K64" s="41"/>
      <c r="CL64" s="42"/>
      <c r="CM64" s="42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</row>
    <row r="65" spans="1:123" hidden="1" outlineLevel="1">
      <c r="A65" s="41"/>
      <c r="B65" s="121"/>
      <c r="C65" s="41"/>
      <c r="D65" s="41"/>
      <c r="E65" s="41"/>
      <c r="F65" s="41"/>
      <c r="G65" s="41"/>
      <c r="H65" s="121"/>
      <c r="I65" s="121"/>
      <c r="J65" s="41"/>
      <c r="K65" s="41"/>
      <c r="L65" s="41"/>
      <c r="M65" s="41"/>
      <c r="N65" s="41"/>
      <c r="O65" s="41"/>
      <c r="P65" s="41"/>
      <c r="Q65" s="42"/>
      <c r="R65" s="122"/>
      <c r="S65" s="122"/>
      <c r="T65" s="41"/>
      <c r="U65" s="215" t="e">
        <f t="shared" si="15"/>
        <v>#DIV/0!</v>
      </c>
      <c r="V65" s="41"/>
      <c r="W65" s="41"/>
      <c r="X65" s="41"/>
      <c r="Y65" s="215" t="e">
        <f t="shared" si="16"/>
        <v>#DIV/0!</v>
      </c>
      <c r="Z65" s="177"/>
      <c r="AA65" s="177"/>
      <c r="AB65" s="41"/>
      <c r="AC65" s="41"/>
      <c r="AD65" s="41"/>
      <c r="AE65" s="123"/>
      <c r="AF65" s="122"/>
      <c r="AG65" s="41"/>
      <c r="AH65" s="41"/>
      <c r="AI65" s="41"/>
      <c r="AJ65" s="41"/>
      <c r="AK65" s="177"/>
      <c r="AL65" s="41"/>
      <c r="AM65" s="41"/>
      <c r="AN65" s="41"/>
      <c r="AO65" s="41"/>
      <c r="AP65" s="41"/>
      <c r="AQ65" s="41"/>
      <c r="AR65" s="41"/>
      <c r="AS65" s="41"/>
      <c r="AT65" s="41"/>
      <c r="AU65" s="12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K65" s="41"/>
      <c r="CL65" s="42"/>
      <c r="CM65" s="42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</row>
    <row r="66" spans="1:123" hidden="1" outlineLevel="1">
      <c r="A66" s="41"/>
      <c r="B66" s="121"/>
      <c r="C66" s="41"/>
      <c r="D66" s="41"/>
      <c r="E66" s="41"/>
      <c r="F66" s="41"/>
      <c r="G66" s="41"/>
      <c r="H66" s="121"/>
      <c r="I66" s="121"/>
      <c r="J66" s="41"/>
      <c r="K66" s="41"/>
      <c r="L66" s="41"/>
      <c r="M66" s="41"/>
      <c r="N66" s="41"/>
      <c r="O66" s="41"/>
      <c r="P66" s="41"/>
      <c r="Q66" s="42"/>
      <c r="R66" s="122"/>
      <c r="S66" s="122"/>
      <c r="T66" s="41"/>
      <c r="U66" s="215" t="e">
        <f t="shared" si="15"/>
        <v>#DIV/0!</v>
      </c>
      <c r="V66" s="41"/>
      <c r="W66" s="41"/>
      <c r="X66" s="41"/>
      <c r="Y66" s="215" t="e">
        <f t="shared" si="16"/>
        <v>#DIV/0!</v>
      </c>
      <c r="Z66" s="177"/>
      <c r="AA66" s="177"/>
      <c r="AB66" s="41"/>
      <c r="AC66" s="41"/>
      <c r="AD66" s="41"/>
      <c r="AE66" s="123"/>
      <c r="AF66" s="122"/>
      <c r="AG66" s="41"/>
      <c r="AH66" s="41"/>
      <c r="AI66" s="41"/>
      <c r="AJ66" s="41"/>
      <c r="AK66" s="177"/>
      <c r="AL66" s="41"/>
      <c r="AM66" s="41"/>
      <c r="AN66" s="41"/>
      <c r="AO66" s="41"/>
      <c r="AP66" s="41"/>
      <c r="AQ66" s="41"/>
      <c r="AR66" s="41"/>
      <c r="AS66" s="41"/>
      <c r="AT66" s="41"/>
      <c r="AU66" s="12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K66" s="41"/>
      <c r="CL66" s="42"/>
      <c r="CM66" s="42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</row>
    <row r="67" spans="1:123" hidden="1" outlineLevel="1">
      <c r="A67" s="41"/>
      <c r="B67" s="121"/>
      <c r="C67" s="41"/>
      <c r="D67" s="41"/>
      <c r="E67" s="41"/>
      <c r="F67" s="41"/>
      <c r="G67" s="41"/>
      <c r="H67" s="121"/>
      <c r="I67" s="121"/>
      <c r="J67" s="41"/>
      <c r="K67" s="41"/>
      <c r="L67" s="41"/>
      <c r="M67" s="41"/>
      <c r="N67" s="41"/>
      <c r="O67" s="41"/>
      <c r="P67" s="41"/>
      <c r="Q67" s="42"/>
      <c r="R67" s="122"/>
      <c r="S67" s="122"/>
      <c r="T67" s="41"/>
      <c r="U67" s="215" t="e">
        <f t="shared" si="15"/>
        <v>#DIV/0!</v>
      </c>
      <c r="V67" s="41"/>
      <c r="W67" s="41"/>
      <c r="X67" s="41"/>
      <c r="Y67" s="215" t="e">
        <f t="shared" si="16"/>
        <v>#DIV/0!</v>
      </c>
      <c r="Z67" s="177"/>
      <c r="AA67" s="177"/>
      <c r="AB67" s="41"/>
      <c r="AC67" s="41"/>
      <c r="AD67" s="41"/>
      <c r="AE67" s="123"/>
      <c r="AF67" s="122"/>
      <c r="AG67" s="41"/>
      <c r="AH67" s="41"/>
      <c r="AI67" s="41"/>
      <c r="AJ67" s="41"/>
      <c r="AK67" s="177"/>
      <c r="AL67" s="41"/>
      <c r="AM67" s="41"/>
      <c r="AN67" s="41"/>
      <c r="AO67" s="41"/>
      <c r="AP67" s="41"/>
      <c r="AQ67" s="41"/>
      <c r="AR67" s="41"/>
      <c r="AS67" s="41"/>
      <c r="AT67" s="41"/>
      <c r="AU67" s="12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K67" s="41"/>
      <c r="CL67" s="42"/>
      <c r="CM67" s="42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</row>
    <row r="68" spans="1:123" hidden="1" outlineLevel="1">
      <c r="A68" s="41"/>
      <c r="B68" s="121"/>
      <c r="C68" s="41"/>
      <c r="D68" s="41"/>
      <c r="E68" s="41"/>
      <c r="F68" s="41"/>
      <c r="G68" s="41"/>
      <c r="H68" s="121"/>
      <c r="I68" s="121"/>
      <c r="J68" s="41"/>
      <c r="K68" s="41"/>
      <c r="L68" s="41"/>
      <c r="M68" s="41"/>
      <c r="N68" s="41"/>
      <c r="O68" s="41"/>
      <c r="P68" s="41"/>
      <c r="Q68" s="42"/>
      <c r="R68" s="122"/>
      <c r="S68" s="122"/>
      <c r="T68" s="41"/>
      <c r="U68" s="215" t="e">
        <f t="shared" si="15"/>
        <v>#DIV/0!</v>
      </c>
      <c r="V68" s="41"/>
      <c r="W68" s="41"/>
      <c r="X68" s="41"/>
      <c r="Y68" s="215" t="e">
        <f t="shared" si="16"/>
        <v>#DIV/0!</v>
      </c>
      <c r="Z68" s="177"/>
      <c r="AA68" s="177"/>
      <c r="AB68" s="41"/>
      <c r="AC68" s="41"/>
      <c r="AD68" s="41"/>
      <c r="AE68" s="123"/>
      <c r="AF68" s="122"/>
      <c r="AG68" s="41"/>
      <c r="AH68" s="41"/>
      <c r="AI68" s="41"/>
      <c r="AJ68" s="41"/>
      <c r="AK68" s="177"/>
      <c r="AL68" s="41"/>
      <c r="AM68" s="41"/>
      <c r="AN68" s="41"/>
      <c r="AO68" s="41"/>
      <c r="AP68" s="41"/>
      <c r="AQ68" s="41"/>
      <c r="AR68" s="41"/>
      <c r="AS68" s="41"/>
      <c r="AT68" s="41"/>
      <c r="AU68" s="12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K68" s="41"/>
      <c r="CL68" s="42"/>
      <c r="CM68" s="42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</row>
    <row r="69" spans="1:123" hidden="1" outlineLevel="1">
      <c r="A69" s="41"/>
      <c r="B69" s="121"/>
      <c r="C69" s="41"/>
      <c r="D69" s="41"/>
      <c r="E69" s="41"/>
      <c r="F69" s="41"/>
      <c r="G69" s="41"/>
      <c r="H69" s="121"/>
      <c r="I69" s="121"/>
      <c r="J69" s="41"/>
      <c r="K69" s="41"/>
      <c r="L69" s="41"/>
      <c r="M69" s="41"/>
      <c r="N69" s="41"/>
      <c r="O69" s="41"/>
      <c r="P69" s="41"/>
      <c r="Q69" s="42"/>
      <c r="R69" s="122"/>
      <c r="S69" s="122"/>
      <c r="T69" s="41"/>
      <c r="U69" s="215" t="e">
        <f t="shared" si="15"/>
        <v>#DIV/0!</v>
      </c>
      <c r="V69" s="41"/>
      <c r="W69" s="41"/>
      <c r="X69" s="41"/>
      <c r="Y69" s="215" t="e">
        <f t="shared" si="16"/>
        <v>#DIV/0!</v>
      </c>
      <c r="Z69" s="177"/>
      <c r="AA69" s="177"/>
      <c r="AB69" s="41"/>
      <c r="AC69" s="41"/>
      <c r="AD69" s="41"/>
      <c r="AE69" s="123"/>
      <c r="AF69" s="122"/>
      <c r="AG69" s="41"/>
      <c r="AH69" s="41"/>
      <c r="AI69" s="41"/>
      <c r="AJ69" s="41"/>
      <c r="AK69" s="177"/>
      <c r="AL69" s="41"/>
      <c r="AM69" s="41"/>
      <c r="AN69" s="41"/>
      <c r="AO69" s="41"/>
      <c r="AP69" s="41"/>
      <c r="AQ69" s="41"/>
      <c r="AR69" s="41"/>
      <c r="AS69" s="41"/>
      <c r="AT69" s="41"/>
      <c r="AU69" s="12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K69" s="41"/>
      <c r="CL69" s="42"/>
      <c r="CM69" s="42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</row>
    <row r="70" spans="1:123" hidden="1" outlineLevel="1">
      <c r="A70" s="41"/>
      <c r="B70" s="121"/>
      <c r="C70" s="41"/>
      <c r="D70" s="41"/>
      <c r="E70" s="41"/>
      <c r="F70" s="41"/>
      <c r="G70" s="41"/>
      <c r="H70" s="121"/>
      <c r="I70" s="121"/>
      <c r="J70" s="41"/>
      <c r="K70" s="41"/>
      <c r="L70" s="41"/>
      <c r="M70" s="41"/>
      <c r="N70" s="41"/>
      <c r="O70" s="41"/>
      <c r="P70" s="41"/>
      <c r="Q70" s="42"/>
      <c r="R70" s="122"/>
      <c r="S70" s="122"/>
      <c r="T70" s="41"/>
      <c r="U70" s="215" t="e">
        <f t="shared" si="15"/>
        <v>#DIV/0!</v>
      </c>
      <c r="V70" s="41"/>
      <c r="W70" s="41"/>
      <c r="X70" s="41"/>
      <c r="Y70" s="215" t="e">
        <f t="shared" si="16"/>
        <v>#DIV/0!</v>
      </c>
      <c r="Z70" s="177"/>
      <c r="AA70" s="177"/>
      <c r="AB70" s="41"/>
      <c r="AC70" s="41"/>
      <c r="AD70" s="41"/>
      <c r="AE70" s="123"/>
      <c r="AF70" s="122"/>
      <c r="AG70" s="41"/>
      <c r="AH70" s="41"/>
      <c r="AI70" s="41"/>
      <c r="AJ70" s="41"/>
      <c r="AK70" s="177"/>
      <c r="AL70" s="41"/>
      <c r="AM70" s="41"/>
      <c r="AN70" s="41"/>
      <c r="AO70" s="41"/>
      <c r="AP70" s="41"/>
      <c r="AQ70" s="41"/>
      <c r="AR70" s="41"/>
      <c r="AS70" s="41"/>
      <c r="AT70" s="41"/>
      <c r="AU70" s="12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K70" s="41"/>
      <c r="CL70" s="42"/>
      <c r="CM70" s="42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</row>
    <row r="71" spans="1:123" hidden="1" outlineLevel="1">
      <c r="A71" s="41"/>
      <c r="B71" s="121"/>
      <c r="C71" s="41"/>
      <c r="D71" s="41"/>
      <c r="E71" s="41"/>
      <c r="F71" s="41"/>
      <c r="G71" s="41"/>
      <c r="H71" s="121"/>
      <c r="I71" s="121"/>
      <c r="J71" s="41"/>
      <c r="K71" s="41"/>
      <c r="L71" s="41"/>
      <c r="M71" s="41"/>
      <c r="N71" s="41"/>
      <c r="O71" s="41"/>
      <c r="P71" s="41"/>
      <c r="Q71" s="42"/>
      <c r="R71" s="122"/>
      <c r="S71" s="122"/>
      <c r="T71" s="41"/>
      <c r="U71" s="215" t="e">
        <f t="shared" si="15"/>
        <v>#DIV/0!</v>
      </c>
      <c r="V71" s="41"/>
      <c r="W71" s="41"/>
      <c r="X71" s="41"/>
      <c r="Y71" s="215" t="e">
        <f t="shared" si="16"/>
        <v>#DIV/0!</v>
      </c>
      <c r="Z71" s="177"/>
      <c r="AA71" s="177"/>
      <c r="AB71" s="41"/>
      <c r="AC71" s="41"/>
      <c r="AD71" s="41"/>
      <c r="AE71" s="123"/>
      <c r="AF71" s="122"/>
      <c r="AG71" s="41"/>
      <c r="AH71" s="41"/>
      <c r="AI71" s="41"/>
      <c r="AJ71" s="41"/>
      <c r="AK71" s="177"/>
      <c r="AL71" s="41"/>
      <c r="AM71" s="41"/>
      <c r="AN71" s="41"/>
      <c r="AO71" s="41"/>
      <c r="AP71" s="41"/>
      <c r="AQ71" s="41"/>
      <c r="AR71" s="41"/>
      <c r="AS71" s="41"/>
      <c r="AT71" s="41"/>
      <c r="AU71" s="12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K71" s="41"/>
      <c r="CL71" s="42"/>
      <c r="CM71" s="42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</row>
    <row r="72" spans="1:123" hidden="1" outlineLevel="1">
      <c r="A72" s="41"/>
      <c r="B72" s="121"/>
      <c r="C72" s="41"/>
      <c r="D72" s="41"/>
      <c r="E72" s="41"/>
      <c r="F72" s="41"/>
      <c r="G72" s="41"/>
      <c r="H72" s="121"/>
      <c r="I72" s="121"/>
      <c r="J72" s="41"/>
      <c r="K72" s="41"/>
      <c r="L72" s="41"/>
      <c r="M72" s="41"/>
      <c r="N72" s="41"/>
      <c r="O72" s="41"/>
      <c r="P72" s="41"/>
      <c r="Q72" s="42"/>
      <c r="R72" s="122"/>
      <c r="S72" s="122"/>
      <c r="T72" s="41"/>
      <c r="U72" s="215" t="e">
        <f t="shared" ref="U72:U135" si="37">V72/R72</f>
        <v>#DIV/0!</v>
      </c>
      <c r="V72" s="41"/>
      <c r="W72" s="41"/>
      <c r="X72" s="41"/>
      <c r="Y72" s="215" t="e">
        <f t="shared" ref="Y72:Y135" si="38">Z72/R72</f>
        <v>#DIV/0!</v>
      </c>
      <c r="Z72" s="177"/>
      <c r="AA72" s="177"/>
      <c r="AB72" s="41"/>
      <c r="AC72" s="41"/>
      <c r="AD72" s="41"/>
      <c r="AE72" s="123"/>
      <c r="AF72" s="122"/>
      <c r="AG72" s="41"/>
      <c r="AH72" s="41"/>
      <c r="AI72" s="41"/>
      <c r="AJ72" s="41"/>
      <c r="AK72" s="177"/>
      <c r="AL72" s="41"/>
      <c r="AM72" s="41"/>
      <c r="AN72" s="41"/>
      <c r="AO72" s="41"/>
      <c r="AP72" s="41"/>
      <c r="AQ72" s="41"/>
      <c r="AR72" s="41"/>
      <c r="AS72" s="41"/>
      <c r="AT72" s="41"/>
      <c r="AU72" s="12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K72" s="41"/>
      <c r="CL72" s="42"/>
      <c r="CM72" s="42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</row>
    <row r="73" spans="1:123" hidden="1" outlineLevel="1">
      <c r="A73" s="41"/>
      <c r="B73" s="121"/>
      <c r="C73" s="41"/>
      <c r="D73" s="41"/>
      <c r="E73" s="41"/>
      <c r="F73" s="41"/>
      <c r="G73" s="41"/>
      <c r="H73" s="121"/>
      <c r="I73" s="121"/>
      <c r="J73" s="41"/>
      <c r="K73" s="41"/>
      <c r="L73" s="41"/>
      <c r="M73" s="41"/>
      <c r="N73" s="41"/>
      <c r="O73" s="41"/>
      <c r="P73" s="41"/>
      <c r="Q73" s="42"/>
      <c r="R73" s="122"/>
      <c r="S73" s="122"/>
      <c r="T73" s="41"/>
      <c r="U73" s="215" t="e">
        <f t="shared" si="37"/>
        <v>#DIV/0!</v>
      </c>
      <c r="V73" s="41"/>
      <c r="W73" s="41"/>
      <c r="X73" s="41"/>
      <c r="Y73" s="215" t="e">
        <f t="shared" si="38"/>
        <v>#DIV/0!</v>
      </c>
      <c r="Z73" s="177"/>
      <c r="AA73" s="177"/>
      <c r="AB73" s="41"/>
      <c r="AC73" s="41"/>
      <c r="AD73" s="41"/>
      <c r="AE73" s="123"/>
      <c r="AF73" s="122"/>
      <c r="AG73" s="41"/>
      <c r="AH73" s="41"/>
      <c r="AI73" s="41"/>
      <c r="AJ73" s="41"/>
      <c r="AK73" s="177"/>
      <c r="AL73" s="41"/>
      <c r="AM73" s="41"/>
      <c r="AN73" s="41"/>
      <c r="AO73" s="41"/>
      <c r="AP73" s="41"/>
      <c r="AQ73" s="41"/>
      <c r="AR73" s="41"/>
      <c r="AS73" s="41"/>
      <c r="AT73" s="41"/>
      <c r="AU73" s="12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K73" s="41"/>
      <c r="CL73" s="42"/>
      <c r="CM73" s="42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</row>
    <row r="74" spans="1:123" hidden="1" outlineLevel="1">
      <c r="A74" s="41"/>
      <c r="B74" s="121"/>
      <c r="C74" s="41"/>
      <c r="D74" s="41"/>
      <c r="E74" s="41"/>
      <c r="F74" s="41"/>
      <c r="G74" s="41"/>
      <c r="H74" s="121"/>
      <c r="I74" s="121"/>
      <c r="J74" s="41"/>
      <c r="K74" s="41"/>
      <c r="L74" s="41"/>
      <c r="M74" s="41"/>
      <c r="N74" s="41"/>
      <c r="O74" s="41"/>
      <c r="P74" s="41"/>
      <c r="Q74" s="42"/>
      <c r="R74" s="122"/>
      <c r="S74" s="122"/>
      <c r="T74" s="41"/>
      <c r="U74" s="215" t="e">
        <f t="shared" si="37"/>
        <v>#DIV/0!</v>
      </c>
      <c r="V74" s="41"/>
      <c r="W74" s="41"/>
      <c r="X74" s="41"/>
      <c r="Y74" s="215" t="e">
        <f t="shared" si="38"/>
        <v>#DIV/0!</v>
      </c>
      <c r="Z74" s="177"/>
      <c r="AA74" s="177"/>
      <c r="AB74" s="41"/>
      <c r="AC74" s="41"/>
      <c r="AD74" s="41"/>
      <c r="AE74" s="123"/>
      <c r="AF74" s="122"/>
      <c r="AG74" s="41"/>
      <c r="AH74" s="41"/>
      <c r="AI74" s="41"/>
      <c r="AJ74" s="41"/>
      <c r="AK74" s="177"/>
      <c r="AL74" s="41"/>
      <c r="AM74" s="41"/>
      <c r="AN74" s="41"/>
      <c r="AO74" s="41"/>
      <c r="AP74" s="41"/>
      <c r="AQ74" s="41"/>
      <c r="AR74" s="41"/>
      <c r="AS74" s="41"/>
      <c r="AT74" s="41"/>
      <c r="AU74" s="12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K74" s="41"/>
      <c r="CL74" s="42"/>
      <c r="CM74" s="42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</row>
    <row r="75" spans="1:123" hidden="1" outlineLevel="1">
      <c r="A75" s="41"/>
      <c r="B75" s="121"/>
      <c r="C75" s="41"/>
      <c r="D75" s="41"/>
      <c r="E75" s="41"/>
      <c r="F75" s="41"/>
      <c r="G75" s="41"/>
      <c r="H75" s="121"/>
      <c r="I75" s="121"/>
      <c r="J75" s="41"/>
      <c r="K75" s="41"/>
      <c r="L75" s="41"/>
      <c r="M75" s="41"/>
      <c r="N75" s="41"/>
      <c r="O75" s="41"/>
      <c r="P75" s="41"/>
      <c r="Q75" s="42"/>
      <c r="R75" s="122"/>
      <c r="S75" s="122"/>
      <c r="T75" s="41"/>
      <c r="U75" s="215" t="e">
        <f t="shared" si="37"/>
        <v>#DIV/0!</v>
      </c>
      <c r="V75" s="41"/>
      <c r="W75" s="41"/>
      <c r="X75" s="41"/>
      <c r="Y75" s="215" t="e">
        <f t="shared" si="38"/>
        <v>#DIV/0!</v>
      </c>
      <c r="Z75" s="177"/>
      <c r="AA75" s="177"/>
      <c r="AB75" s="41"/>
      <c r="AC75" s="41"/>
      <c r="AD75" s="41"/>
      <c r="AE75" s="123"/>
      <c r="AF75" s="122"/>
      <c r="AG75" s="41"/>
      <c r="AH75" s="41"/>
      <c r="AI75" s="41"/>
      <c r="AJ75" s="41"/>
      <c r="AK75" s="177"/>
      <c r="AL75" s="41"/>
      <c r="AM75" s="41"/>
      <c r="AN75" s="41"/>
      <c r="AO75" s="41"/>
      <c r="AP75" s="41"/>
      <c r="AQ75" s="41"/>
      <c r="AR75" s="41"/>
      <c r="AS75" s="41"/>
      <c r="AT75" s="41"/>
      <c r="AU75" s="12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K75" s="41"/>
      <c r="CL75" s="42"/>
      <c r="CM75" s="42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</row>
    <row r="76" spans="1:123" hidden="1" outlineLevel="1">
      <c r="A76" s="41"/>
      <c r="B76" s="121"/>
      <c r="C76" s="41"/>
      <c r="D76" s="41"/>
      <c r="E76" s="41"/>
      <c r="F76" s="41"/>
      <c r="G76" s="41"/>
      <c r="H76" s="121"/>
      <c r="I76" s="121"/>
      <c r="J76" s="41"/>
      <c r="K76" s="41"/>
      <c r="L76" s="41"/>
      <c r="M76" s="41"/>
      <c r="N76" s="41"/>
      <c r="O76" s="41"/>
      <c r="P76" s="41"/>
      <c r="Q76" s="42"/>
      <c r="R76" s="122"/>
      <c r="S76" s="122"/>
      <c r="T76" s="41"/>
      <c r="U76" s="215" t="e">
        <f t="shared" si="37"/>
        <v>#DIV/0!</v>
      </c>
      <c r="V76" s="41"/>
      <c r="W76" s="41"/>
      <c r="X76" s="41"/>
      <c r="Y76" s="215" t="e">
        <f t="shared" si="38"/>
        <v>#DIV/0!</v>
      </c>
      <c r="Z76" s="177"/>
      <c r="AA76" s="177"/>
      <c r="AB76" s="41"/>
      <c r="AC76" s="41"/>
      <c r="AD76" s="41"/>
      <c r="AE76" s="123"/>
      <c r="AF76" s="122"/>
      <c r="AG76" s="41"/>
      <c r="AH76" s="41"/>
      <c r="AI76" s="41"/>
      <c r="AJ76" s="41"/>
      <c r="AK76" s="177"/>
      <c r="AL76" s="41"/>
      <c r="AM76" s="41"/>
      <c r="AN76" s="41"/>
      <c r="AO76" s="41"/>
      <c r="AP76" s="41"/>
      <c r="AQ76" s="41"/>
      <c r="AR76" s="41"/>
      <c r="AS76" s="41"/>
      <c r="AT76" s="41"/>
      <c r="AU76" s="12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K76" s="41"/>
      <c r="CL76" s="42"/>
      <c r="CM76" s="42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</row>
    <row r="77" spans="1:123" hidden="1" outlineLevel="1">
      <c r="A77" s="41"/>
      <c r="B77" s="121"/>
      <c r="C77" s="41"/>
      <c r="D77" s="41"/>
      <c r="E77" s="41"/>
      <c r="F77" s="41"/>
      <c r="G77" s="41"/>
      <c r="H77" s="121"/>
      <c r="I77" s="121"/>
      <c r="J77" s="41"/>
      <c r="K77" s="41"/>
      <c r="L77" s="41"/>
      <c r="M77" s="41"/>
      <c r="N77" s="41"/>
      <c r="O77" s="41"/>
      <c r="P77" s="41"/>
      <c r="Q77" s="42"/>
      <c r="R77" s="122"/>
      <c r="S77" s="122"/>
      <c r="T77" s="41"/>
      <c r="U77" s="215" t="e">
        <f t="shared" si="37"/>
        <v>#DIV/0!</v>
      </c>
      <c r="V77" s="41"/>
      <c r="W77" s="41"/>
      <c r="X77" s="41"/>
      <c r="Y77" s="215" t="e">
        <f t="shared" si="38"/>
        <v>#DIV/0!</v>
      </c>
      <c r="Z77" s="177"/>
      <c r="AA77" s="177"/>
      <c r="AB77" s="41"/>
      <c r="AC77" s="41"/>
      <c r="AD77" s="41"/>
      <c r="AE77" s="123"/>
      <c r="AF77" s="122"/>
      <c r="AG77" s="41"/>
      <c r="AH77" s="41"/>
      <c r="AI77" s="41"/>
      <c r="AJ77" s="41"/>
      <c r="AK77" s="177"/>
      <c r="AL77" s="41"/>
      <c r="AM77" s="41"/>
      <c r="AN77" s="41"/>
      <c r="AO77" s="41"/>
      <c r="AP77" s="41"/>
      <c r="AQ77" s="41"/>
      <c r="AR77" s="41"/>
      <c r="AS77" s="41"/>
      <c r="AT77" s="41"/>
      <c r="AU77" s="12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K77" s="41"/>
      <c r="CL77" s="42"/>
      <c r="CM77" s="42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</row>
    <row r="78" spans="1:123" hidden="1" outlineLevel="1">
      <c r="A78" s="41"/>
      <c r="B78" s="121"/>
      <c r="C78" s="41"/>
      <c r="D78" s="41"/>
      <c r="E78" s="41"/>
      <c r="F78" s="41"/>
      <c r="G78" s="41"/>
      <c r="H78" s="121"/>
      <c r="I78" s="121"/>
      <c r="J78" s="41"/>
      <c r="K78" s="41"/>
      <c r="L78" s="41"/>
      <c r="M78" s="41"/>
      <c r="N78" s="41"/>
      <c r="O78" s="41"/>
      <c r="P78" s="41"/>
      <c r="Q78" s="42"/>
      <c r="R78" s="122"/>
      <c r="S78" s="122"/>
      <c r="T78" s="41"/>
      <c r="U78" s="215" t="e">
        <f t="shared" si="37"/>
        <v>#DIV/0!</v>
      </c>
      <c r="V78" s="41"/>
      <c r="W78" s="41"/>
      <c r="X78" s="41"/>
      <c r="Y78" s="215" t="e">
        <f t="shared" si="38"/>
        <v>#DIV/0!</v>
      </c>
      <c r="Z78" s="177"/>
      <c r="AA78" s="177"/>
      <c r="AB78" s="41"/>
      <c r="AC78" s="41"/>
      <c r="AD78" s="41"/>
      <c r="AE78" s="123"/>
      <c r="AF78" s="122"/>
      <c r="AG78" s="41"/>
      <c r="AH78" s="41"/>
      <c r="AI78" s="41"/>
      <c r="AJ78" s="41"/>
      <c r="AK78" s="177"/>
      <c r="AL78" s="41"/>
      <c r="AM78" s="41"/>
      <c r="AN78" s="41"/>
      <c r="AO78" s="41"/>
      <c r="AP78" s="41"/>
      <c r="AQ78" s="41"/>
      <c r="AR78" s="41"/>
      <c r="AS78" s="41"/>
      <c r="AT78" s="41"/>
      <c r="AU78" s="12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K78" s="41"/>
      <c r="CL78" s="42"/>
      <c r="CM78" s="42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</row>
    <row r="79" spans="1:123" hidden="1" outlineLevel="1">
      <c r="A79" s="41"/>
      <c r="B79" s="121"/>
      <c r="C79" s="41"/>
      <c r="D79" s="41"/>
      <c r="E79" s="41"/>
      <c r="F79" s="41"/>
      <c r="G79" s="41"/>
      <c r="H79" s="121"/>
      <c r="I79" s="121"/>
      <c r="J79" s="41"/>
      <c r="K79" s="41"/>
      <c r="L79" s="41"/>
      <c r="M79" s="41"/>
      <c r="N79" s="41"/>
      <c r="O79" s="41"/>
      <c r="P79" s="41"/>
      <c r="Q79" s="42"/>
      <c r="R79" s="122"/>
      <c r="S79" s="122"/>
      <c r="T79" s="41"/>
      <c r="U79" s="215" t="e">
        <f t="shared" si="37"/>
        <v>#DIV/0!</v>
      </c>
      <c r="V79" s="41"/>
      <c r="W79" s="41"/>
      <c r="X79" s="41"/>
      <c r="Y79" s="215" t="e">
        <f t="shared" si="38"/>
        <v>#DIV/0!</v>
      </c>
      <c r="Z79" s="177"/>
      <c r="AA79" s="177"/>
      <c r="AB79" s="41"/>
      <c r="AC79" s="41"/>
      <c r="AD79" s="41"/>
      <c r="AE79" s="123"/>
      <c r="AF79" s="122"/>
      <c r="AG79" s="41"/>
      <c r="AH79" s="41"/>
      <c r="AI79" s="41"/>
      <c r="AJ79" s="41"/>
      <c r="AK79" s="177"/>
      <c r="AL79" s="41"/>
      <c r="AM79" s="41"/>
      <c r="AN79" s="41"/>
      <c r="AO79" s="41"/>
      <c r="AP79" s="41"/>
      <c r="AQ79" s="41"/>
      <c r="AR79" s="41"/>
      <c r="AS79" s="41"/>
      <c r="AT79" s="41"/>
      <c r="AU79" s="12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K79" s="41"/>
      <c r="CL79" s="42"/>
      <c r="CM79" s="42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</row>
    <row r="80" spans="1:123" hidden="1" outlineLevel="1">
      <c r="A80" s="41"/>
      <c r="B80" s="121"/>
      <c r="C80" s="41"/>
      <c r="D80" s="41"/>
      <c r="E80" s="41"/>
      <c r="F80" s="41"/>
      <c r="G80" s="41"/>
      <c r="H80" s="121"/>
      <c r="I80" s="121"/>
      <c r="J80" s="41"/>
      <c r="K80" s="41"/>
      <c r="L80" s="41"/>
      <c r="M80" s="41"/>
      <c r="N80" s="41"/>
      <c r="O80" s="41"/>
      <c r="P80" s="41"/>
      <c r="Q80" s="42"/>
      <c r="R80" s="122"/>
      <c r="S80" s="122"/>
      <c r="T80" s="41"/>
      <c r="U80" s="215" t="e">
        <f t="shared" si="37"/>
        <v>#DIV/0!</v>
      </c>
      <c r="V80" s="41"/>
      <c r="W80" s="41"/>
      <c r="X80" s="41"/>
      <c r="Y80" s="215" t="e">
        <f t="shared" si="38"/>
        <v>#DIV/0!</v>
      </c>
      <c r="Z80" s="177"/>
      <c r="AA80" s="177"/>
      <c r="AB80" s="41"/>
      <c r="AC80" s="41"/>
      <c r="AD80" s="41"/>
      <c r="AE80" s="123"/>
      <c r="AF80" s="122"/>
      <c r="AG80" s="41"/>
      <c r="AH80" s="41"/>
      <c r="AI80" s="41"/>
      <c r="AJ80" s="41"/>
      <c r="AK80" s="177"/>
      <c r="AL80" s="41"/>
      <c r="AM80" s="41"/>
      <c r="AN80" s="41"/>
      <c r="AO80" s="41"/>
      <c r="AP80" s="41"/>
      <c r="AQ80" s="41"/>
      <c r="AR80" s="41"/>
      <c r="AS80" s="41"/>
      <c r="AT80" s="41"/>
      <c r="AU80" s="12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K80" s="41"/>
      <c r="CL80" s="42"/>
      <c r="CM80" s="42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</row>
    <row r="81" spans="1:123" hidden="1" outlineLevel="1">
      <c r="A81" s="41"/>
      <c r="B81" s="121"/>
      <c r="C81" s="41"/>
      <c r="D81" s="41"/>
      <c r="E81" s="41"/>
      <c r="F81" s="41"/>
      <c r="G81" s="41"/>
      <c r="H81" s="121"/>
      <c r="I81" s="121"/>
      <c r="J81" s="41"/>
      <c r="K81" s="41"/>
      <c r="L81" s="41"/>
      <c r="M81" s="41"/>
      <c r="N81" s="41"/>
      <c r="O81" s="41"/>
      <c r="P81" s="41"/>
      <c r="Q81" s="42"/>
      <c r="R81" s="122"/>
      <c r="S81" s="122"/>
      <c r="T81" s="41"/>
      <c r="U81" s="215" t="e">
        <f t="shared" si="37"/>
        <v>#DIV/0!</v>
      </c>
      <c r="V81" s="41"/>
      <c r="W81" s="41"/>
      <c r="X81" s="41"/>
      <c r="Y81" s="215" t="e">
        <f t="shared" si="38"/>
        <v>#DIV/0!</v>
      </c>
      <c r="Z81" s="177"/>
      <c r="AA81" s="177"/>
      <c r="AB81" s="41"/>
      <c r="AC81" s="41"/>
      <c r="AD81" s="41"/>
      <c r="AE81" s="123"/>
      <c r="AF81" s="122"/>
      <c r="AG81" s="41"/>
      <c r="AH81" s="41"/>
      <c r="AI81" s="41"/>
      <c r="AJ81" s="41"/>
      <c r="AK81" s="177"/>
      <c r="AL81" s="41"/>
      <c r="AM81" s="41"/>
      <c r="AN81" s="41"/>
      <c r="AO81" s="41"/>
      <c r="AP81" s="41"/>
      <c r="AQ81" s="41"/>
      <c r="AR81" s="41"/>
      <c r="AS81" s="41"/>
      <c r="AT81" s="41"/>
      <c r="AU81" s="12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K81" s="41"/>
      <c r="CL81" s="42"/>
      <c r="CM81" s="42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</row>
    <row r="82" spans="1:123" hidden="1" outlineLevel="1">
      <c r="A82" s="41"/>
      <c r="B82" s="121"/>
      <c r="C82" s="41"/>
      <c r="D82" s="41"/>
      <c r="E82" s="41"/>
      <c r="F82" s="41"/>
      <c r="G82" s="41"/>
      <c r="H82" s="121"/>
      <c r="I82" s="121"/>
      <c r="J82" s="41"/>
      <c r="K82" s="41"/>
      <c r="L82" s="41"/>
      <c r="M82" s="41"/>
      <c r="N82" s="41"/>
      <c r="O82" s="41"/>
      <c r="P82" s="41"/>
      <c r="Q82" s="42"/>
      <c r="R82" s="122"/>
      <c r="S82" s="122"/>
      <c r="T82" s="41"/>
      <c r="U82" s="215" t="e">
        <f t="shared" si="37"/>
        <v>#DIV/0!</v>
      </c>
      <c r="V82" s="41"/>
      <c r="W82" s="41"/>
      <c r="X82" s="41"/>
      <c r="Y82" s="215" t="e">
        <f t="shared" si="38"/>
        <v>#DIV/0!</v>
      </c>
      <c r="Z82" s="177"/>
      <c r="AA82" s="177"/>
      <c r="AB82" s="41"/>
      <c r="AC82" s="41"/>
      <c r="AD82" s="41"/>
      <c r="AE82" s="123"/>
      <c r="AF82" s="122"/>
      <c r="AG82" s="41"/>
      <c r="AH82" s="41"/>
      <c r="AI82" s="41"/>
      <c r="AJ82" s="41"/>
      <c r="AK82" s="177"/>
      <c r="AL82" s="41"/>
      <c r="AM82" s="41"/>
      <c r="AN82" s="41"/>
      <c r="AO82" s="41"/>
      <c r="AP82" s="41"/>
      <c r="AQ82" s="41"/>
      <c r="AR82" s="41"/>
      <c r="AS82" s="41"/>
      <c r="AT82" s="41"/>
      <c r="AU82" s="12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K82" s="41"/>
      <c r="CL82" s="42"/>
      <c r="CM82" s="42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</row>
    <row r="83" spans="1:123" hidden="1" outlineLevel="1">
      <c r="A83" s="41"/>
      <c r="B83" s="121"/>
      <c r="C83" s="41"/>
      <c r="D83" s="41"/>
      <c r="E83" s="41"/>
      <c r="F83" s="41"/>
      <c r="G83" s="41"/>
      <c r="H83" s="121"/>
      <c r="I83" s="121"/>
      <c r="J83" s="41"/>
      <c r="K83" s="41"/>
      <c r="L83" s="41"/>
      <c r="M83" s="41"/>
      <c r="N83" s="41"/>
      <c r="O83" s="41"/>
      <c r="P83" s="41"/>
      <c r="Q83" s="42"/>
      <c r="R83" s="122"/>
      <c r="S83" s="122"/>
      <c r="T83" s="41"/>
      <c r="U83" s="215" t="e">
        <f t="shared" si="37"/>
        <v>#DIV/0!</v>
      </c>
      <c r="V83" s="41"/>
      <c r="W83" s="41"/>
      <c r="X83" s="41"/>
      <c r="Y83" s="215" t="e">
        <f t="shared" si="38"/>
        <v>#DIV/0!</v>
      </c>
      <c r="Z83" s="177"/>
      <c r="AA83" s="177"/>
      <c r="AB83" s="41"/>
      <c r="AC83" s="41"/>
      <c r="AD83" s="41"/>
      <c r="AE83" s="123"/>
      <c r="AF83" s="122"/>
      <c r="AG83" s="41"/>
      <c r="AH83" s="41"/>
      <c r="AI83" s="41"/>
      <c r="AJ83" s="41"/>
      <c r="AK83" s="177"/>
      <c r="AL83" s="41"/>
      <c r="AM83" s="41"/>
      <c r="AN83" s="41"/>
      <c r="AO83" s="41"/>
      <c r="AP83" s="41"/>
      <c r="AQ83" s="41"/>
      <c r="AR83" s="41"/>
      <c r="AS83" s="41"/>
      <c r="AT83" s="41"/>
      <c r="AU83" s="12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K83" s="41"/>
      <c r="CL83" s="42"/>
      <c r="CM83" s="42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</row>
    <row r="84" spans="1:123" hidden="1" outlineLevel="1">
      <c r="A84" s="41"/>
      <c r="B84" s="121"/>
      <c r="C84" s="41"/>
      <c r="D84" s="41"/>
      <c r="E84" s="41"/>
      <c r="F84" s="41"/>
      <c r="G84" s="41"/>
      <c r="H84" s="121"/>
      <c r="I84" s="121"/>
      <c r="J84" s="41"/>
      <c r="K84" s="41"/>
      <c r="L84" s="41"/>
      <c r="M84" s="41"/>
      <c r="N84" s="41"/>
      <c r="O84" s="41"/>
      <c r="P84" s="41"/>
      <c r="Q84" s="42"/>
      <c r="R84" s="122"/>
      <c r="S84" s="122"/>
      <c r="T84" s="41"/>
      <c r="U84" s="215" t="e">
        <f t="shared" si="37"/>
        <v>#DIV/0!</v>
      </c>
      <c r="V84" s="41"/>
      <c r="W84" s="41"/>
      <c r="X84" s="41"/>
      <c r="Y84" s="215" t="e">
        <f t="shared" si="38"/>
        <v>#DIV/0!</v>
      </c>
      <c r="Z84" s="177"/>
      <c r="AA84" s="177"/>
      <c r="AB84" s="41"/>
      <c r="AC84" s="41"/>
      <c r="AD84" s="41"/>
      <c r="AE84" s="123"/>
      <c r="AF84" s="122"/>
      <c r="AG84" s="41"/>
      <c r="AH84" s="41"/>
      <c r="AI84" s="41"/>
      <c r="AJ84" s="41"/>
      <c r="AK84" s="177"/>
      <c r="AL84" s="41"/>
      <c r="AM84" s="41"/>
      <c r="AN84" s="41"/>
      <c r="AO84" s="41"/>
      <c r="AP84" s="41"/>
      <c r="AQ84" s="41"/>
      <c r="AR84" s="41"/>
      <c r="AS84" s="41"/>
      <c r="AT84" s="41"/>
      <c r="AU84" s="12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K84" s="41"/>
      <c r="CL84" s="42"/>
      <c r="CM84" s="42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</row>
    <row r="85" spans="1:123" hidden="1" outlineLevel="1">
      <c r="A85" s="41"/>
      <c r="B85" s="121"/>
      <c r="C85" s="41"/>
      <c r="D85" s="41"/>
      <c r="E85" s="41"/>
      <c r="F85" s="41"/>
      <c r="G85" s="41"/>
      <c r="H85" s="121"/>
      <c r="I85" s="121"/>
      <c r="J85" s="41"/>
      <c r="K85" s="41"/>
      <c r="L85" s="41"/>
      <c r="M85" s="41"/>
      <c r="N85" s="41"/>
      <c r="O85" s="41"/>
      <c r="P85" s="41"/>
      <c r="Q85" s="42"/>
      <c r="R85" s="122"/>
      <c r="S85" s="122"/>
      <c r="T85" s="41"/>
      <c r="U85" s="215" t="e">
        <f t="shared" si="37"/>
        <v>#DIV/0!</v>
      </c>
      <c r="V85" s="41"/>
      <c r="W85" s="41"/>
      <c r="X85" s="41"/>
      <c r="Y85" s="215" t="e">
        <f t="shared" si="38"/>
        <v>#DIV/0!</v>
      </c>
      <c r="Z85" s="177"/>
      <c r="AA85" s="177"/>
      <c r="AB85" s="41"/>
      <c r="AC85" s="41"/>
      <c r="AD85" s="41"/>
      <c r="AE85" s="123"/>
      <c r="AF85" s="122"/>
      <c r="AG85" s="41"/>
      <c r="AH85" s="41"/>
      <c r="AI85" s="41"/>
      <c r="AJ85" s="41"/>
      <c r="AK85" s="177"/>
      <c r="AL85" s="41"/>
      <c r="AM85" s="41"/>
      <c r="AN85" s="41"/>
      <c r="AO85" s="41"/>
      <c r="AP85" s="41"/>
      <c r="AQ85" s="41"/>
      <c r="AR85" s="41"/>
      <c r="AS85" s="41"/>
      <c r="AT85" s="41"/>
      <c r="AU85" s="12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K85" s="41"/>
      <c r="CL85" s="42"/>
      <c r="CM85" s="42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</row>
    <row r="86" spans="1:123" hidden="1" outlineLevel="1">
      <c r="A86" s="41"/>
      <c r="B86" s="121"/>
      <c r="C86" s="41"/>
      <c r="D86" s="41"/>
      <c r="E86" s="41"/>
      <c r="F86" s="41"/>
      <c r="G86" s="41"/>
      <c r="H86" s="121"/>
      <c r="I86" s="121"/>
      <c r="J86" s="41"/>
      <c r="K86" s="41"/>
      <c r="L86" s="41"/>
      <c r="M86" s="41"/>
      <c r="N86" s="41"/>
      <c r="O86" s="41"/>
      <c r="P86" s="41"/>
      <c r="Q86" s="42"/>
      <c r="R86" s="122"/>
      <c r="S86" s="122"/>
      <c r="T86" s="41"/>
      <c r="U86" s="215" t="e">
        <f t="shared" si="37"/>
        <v>#DIV/0!</v>
      </c>
      <c r="V86" s="41"/>
      <c r="W86" s="41"/>
      <c r="X86" s="41"/>
      <c r="Y86" s="215" t="e">
        <f t="shared" si="38"/>
        <v>#DIV/0!</v>
      </c>
      <c r="Z86" s="177"/>
      <c r="AA86" s="177"/>
      <c r="AB86" s="41"/>
      <c r="AC86" s="41"/>
      <c r="AD86" s="41"/>
      <c r="AE86" s="123"/>
      <c r="AF86" s="122"/>
      <c r="AG86" s="41"/>
      <c r="AH86" s="41"/>
      <c r="AI86" s="41"/>
      <c r="AJ86" s="41"/>
      <c r="AK86" s="177"/>
      <c r="AL86" s="41"/>
      <c r="AM86" s="41"/>
      <c r="AN86" s="41"/>
      <c r="AO86" s="41"/>
      <c r="AP86" s="41"/>
      <c r="AQ86" s="41"/>
      <c r="AR86" s="41"/>
      <c r="AS86" s="41"/>
      <c r="AT86" s="41"/>
      <c r="AU86" s="12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K86" s="41"/>
      <c r="CL86" s="42"/>
      <c r="CM86" s="42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</row>
    <row r="87" spans="1:123" hidden="1" outlineLevel="1">
      <c r="A87" s="41"/>
      <c r="B87" s="121"/>
      <c r="C87" s="41"/>
      <c r="D87" s="41"/>
      <c r="E87" s="41"/>
      <c r="F87" s="41"/>
      <c r="G87" s="41"/>
      <c r="H87" s="121"/>
      <c r="I87" s="121"/>
      <c r="J87" s="41"/>
      <c r="K87" s="41"/>
      <c r="L87" s="41"/>
      <c r="M87" s="41"/>
      <c r="N87" s="41"/>
      <c r="O87" s="41"/>
      <c r="P87" s="41"/>
      <c r="Q87" s="42"/>
      <c r="R87" s="122"/>
      <c r="S87" s="122"/>
      <c r="T87" s="41"/>
      <c r="U87" s="215" t="e">
        <f t="shared" si="37"/>
        <v>#DIV/0!</v>
      </c>
      <c r="V87" s="41"/>
      <c r="W87" s="41"/>
      <c r="X87" s="41"/>
      <c r="Y87" s="215" t="e">
        <f t="shared" si="38"/>
        <v>#DIV/0!</v>
      </c>
      <c r="Z87" s="177"/>
      <c r="AA87" s="177"/>
      <c r="AB87" s="41"/>
      <c r="AC87" s="41"/>
      <c r="AD87" s="41"/>
      <c r="AE87" s="123"/>
      <c r="AF87" s="122"/>
      <c r="AG87" s="41"/>
      <c r="AH87" s="41"/>
      <c r="AI87" s="41"/>
      <c r="AJ87" s="41"/>
      <c r="AK87" s="177"/>
      <c r="AL87" s="41"/>
      <c r="AM87" s="41"/>
      <c r="AN87" s="41"/>
      <c r="AO87" s="41"/>
      <c r="AP87" s="41"/>
      <c r="AQ87" s="41"/>
      <c r="AR87" s="41"/>
      <c r="AS87" s="41"/>
      <c r="AT87" s="41"/>
      <c r="AU87" s="12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K87" s="41"/>
      <c r="CL87" s="42"/>
      <c r="CM87" s="42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</row>
    <row r="88" spans="1:123" hidden="1" outlineLevel="1">
      <c r="A88" s="41"/>
      <c r="B88" s="121"/>
      <c r="C88" s="41"/>
      <c r="D88" s="41"/>
      <c r="E88" s="41"/>
      <c r="F88" s="41"/>
      <c r="G88" s="41"/>
      <c r="H88" s="121"/>
      <c r="I88" s="121"/>
      <c r="J88" s="41"/>
      <c r="K88" s="41"/>
      <c r="L88" s="41"/>
      <c r="M88" s="41"/>
      <c r="N88" s="41"/>
      <c r="O88" s="41"/>
      <c r="P88" s="41"/>
      <c r="Q88" s="42"/>
      <c r="R88" s="122"/>
      <c r="S88" s="122"/>
      <c r="T88" s="41"/>
      <c r="U88" s="215" t="e">
        <f t="shared" si="37"/>
        <v>#DIV/0!</v>
      </c>
      <c r="V88" s="41"/>
      <c r="W88" s="41"/>
      <c r="X88" s="41"/>
      <c r="Y88" s="215" t="e">
        <f t="shared" si="38"/>
        <v>#DIV/0!</v>
      </c>
      <c r="Z88" s="177"/>
      <c r="AA88" s="177"/>
      <c r="AB88" s="41"/>
      <c r="AC88" s="41"/>
      <c r="AD88" s="41"/>
      <c r="AE88" s="123"/>
      <c r="AF88" s="122"/>
      <c r="AG88" s="41"/>
      <c r="AH88" s="41"/>
      <c r="AI88" s="41"/>
      <c r="AJ88" s="41"/>
      <c r="AK88" s="177"/>
      <c r="AL88" s="41"/>
      <c r="AM88" s="41"/>
      <c r="AN88" s="41"/>
      <c r="AO88" s="41"/>
      <c r="AP88" s="41"/>
      <c r="AQ88" s="41"/>
      <c r="AR88" s="41"/>
      <c r="AS88" s="41"/>
      <c r="AT88" s="41"/>
      <c r="AU88" s="12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K88" s="41"/>
      <c r="CL88" s="42"/>
      <c r="CM88" s="42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</row>
    <row r="89" spans="1:123" hidden="1" outlineLevel="1">
      <c r="A89" s="41"/>
      <c r="B89" s="121"/>
      <c r="C89" s="41"/>
      <c r="D89" s="41"/>
      <c r="E89" s="41"/>
      <c r="F89" s="41"/>
      <c r="G89" s="41"/>
      <c r="H89" s="121"/>
      <c r="I89" s="121"/>
      <c r="J89" s="41"/>
      <c r="K89" s="41"/>
      <c r="L89" s="41"/>
      <c r="M89" s="41"/>
      <c r="N89" s="41"/>
      <c r="O89" s="41"/>
      <c r="P89" s="41"/>
      <c r="Q89" s="42"/>
      <c r="R89" s="122"/>
      <c r="S89" s="122"/>
      <c r="T89" s="41"/>
      <c r="U89" s="215" t="e">
        <f t="shared" si="37"/>
        <v>#DIV/0!</v>
      </c>
      <c r="V89" s="41"/>
      <c r="W89" s="41"/>
      <c r="X89" s="41"/>
      <c r="Y89" s="215" t="e">
        <f t="shared" si="38"/>
        <v>#DIV/0!</v>
      </c>
      <c r="Z89" s="177"/>
      <c r="AA89" s="177"/>
      <c r="AB89" s="41"/>
      <c r="AC89" s="41"/>
      <c r="AD89" s="41"/>
      <c r="AE89" s="123"/>
      <c r="AF89" s="122"/>
      <c r="AG89" s="41"/>
      <c r="AH89" s="41"/>
      <c r="AI89" s="41"/>
      <c r="AJ89" s="41"/>
      <c r="AK89" s="177"/>
      <c r="AL89" s="41"/>
      <c r="AM89" s="41"/>
      <c r="AN89" s="41"/>
      <c r="AO89" s="41"/>
      <c r="AP89" s="41"/>
      <c r="AQ89" s="41"/>
      <c r="AR89" s="41"/>
      <c r="AS89" s="41"/>
      <c r="AT89" s="41"/>
      <c r="AU89" s="12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K89" s="41"/>
      <c r="CL89" s="42"/>
      <c r="CM89" s="42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</row>
    <row r="90" spans="1:123" hidden="1" outlineLevel="1">
      <c r="A90" s="41"/>
      <c r="B90" s="121"/>
      <c r="C90" s="41"/>
      <c r="D90" s="41"/>
      <c r="E90" s="41"/>
      <c r="F90" s="41"/>
      <c r="G90" s="41"/>
      <c r="H90" s="121"/>
      <c r="I90" s="121"/>
      <c r="J90" s="41"/>
      <c r="K90" s="41"/>
      <c r="L90" s="41"/>
      <c r="M90" s="41"/>
      <c r="N90" s="41"/>
      <c r="O90" s="41"/>
      <c r="P90" s="41"/>
      <c r="Q90" s="42"/>
      <c r="R90" s="122"/>
      <c r="S90" s="122"/>
      <c r="T90" s="41"/>
      <c r="U90" s="215" t="e">
        <f t="shared" si="37"/>
        <v>#DIV/0!</v>
      </c>
      <c r="V90" s="41"/>
      <c r="W90" s="41"/>
      <c r="X90" s="41"/>
      <c r="Y90" s="215" t="e">
        <f t="shared" si="38"/>
        <v>#DIV/0!</v>
      </c>
      <c r="Z90" s="177"/>
      <c r="AA90" s="177"/>
      <c r="AB90" s="41"/>
      <c r="AC90" s="41"/>
      <c r="AD90" s="41"/>
      <c r="AE90" s="123"/>
      <c r="AF90" s="122"/>
      <c r="AG90" s="41"/>
      <c r="AH90" s="41"/>
      <c r="AI90" s="41"/>
      <c r="AJ90" s="41"/>
      <c r="AK90" s="177"/>
      <c r="AL90" s="41"/>
      <c r="AM90" s="41"/>
      <c r="AN90" s="41"/>
      <c r="AO90" s="41"/>
      <c r="AP90" s="41"/>
      <c r="AQ90" s="41"/>
      <c r="AR90" s="41"/>
      <c r="AS90" s="41"/>
      <c r="AT90" s="41"/>
      <c r="AU90" s="12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K90" s="41"/>
      <c r="CL90" s="42"/>
      <c r="CM90" s="42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</row>
    <row r="91" spans="1:123" hidden="1" outlineLevel="1">
      <c r="A91" s="41"/>
      <c r="B91" s="121"/>
      <c r="C91" s="41"/>
      <c r="D91" s="41"/>
      <c r="E91" s="41"/>
      <c r="F91" s="41"/>
      <c r="G91" s="41"/>
      <c r="H91" s="121"/>
      <c r="I91" s="121"/>
      <c r="J91" s="41"/>
      <c r="K91" s="41"/>
      <c r="L91" s="41"/>
      <c r="M91" s="41"/>
      <c r="N91" s="41"/>
      <c r="O91" s="41"/>
      <c r="P91" s="41"/>
      <c r="Q91" s="42"/>
      <c r="R91" s="122"/>
      <c r="S91" s="122"/>
      <c r="T91" s="41"/>
      <c r="U91" s="215" t="e">
        <f t="shared" si="37"/>
        <v>#DIV/0!</v>
      </c>
      <c r="V91" s="41"/>
      <c r="W91" s="41"/>
      <c r="X91" s="41"/>
      <c r="Y91" s="215" t="e">
        <f t="shared" si="38"/>
        <v>#DIV/0!</v>
      </c>
      <c r="Z91" s="177"/>
      <c r="AA91" s="177"/>
      <c r="AB91" s="41"/>
      <c r="AC91" s="41"/>
      <c r="AD91" s="41"/>
      <c r="AE91" s="123"/>
      <c r="AF91" s="122"/>
      <c r="AG91" s="41"/>
      <c r="AH91" s="41"/>
      <c r="AI91" s="41"/>
      <c r="AJ91" s="41"/>
      <c r="AK91" s="177"/>
      <c r="AL91" s="41"/>
      <c r="AM91" s="41"/>
      <c r="AN91" s="41"/>
      <c r="AO91" s="41"/>
      <c r="AP91" s="41"/>
      <c r="AQ91" s="41"/>
      <c r="AR91" s="41"/>
      <c r="AS91" s="41"/>
      <c r="AT91" s="41"/>
      <c r="AU91" s="12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K91" s="41"/>
      <c r="CL91" s="42"/>
      <c r="CM91" s="42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</row>
    <row r="92" spans="1:123" hidden="1" outlineLevel="1">
      <c r="A92" s="41"/>
      <c r="B92" s="121"/>
      <c r="C92" s="41"/>
      <c r="D92" s="41"/>
      <c r="E92" s="41"/>
      <c r="F92" s="41"/>
      <c r="G92" s="41"/>
      <c r="H92" s="121"/>
      <c r="I92" s="121"/>
      <c r="J92" s="41"/>
      <c r="K92" s="41"/>
      <c r="L92" s="41"/>
      <c r="M92" s="41"/>
      <c r="N92" s="41"/>
      <c r="O92" s="41"/>
      <c r="P92" s="41"/>
      <c r="Q92" s="42"/>
      <c r="R92" s="122"/>
      <c r="S92" s="122"/>
      <c r="T92" s="41"/>
      <c r="U92" s="215" t="e">
        <f t="shared" si="37"/>
        <v>#DIV/0!</v>
      </c>
      <c r="V92" s="41"/>
      <c r="W92" s="41"/>
      <c r="X92" s="41"/>
      <c r="Y92" s="215" t="e">
        <f t="shared" si="38"/>
        <v>#DIV/0!</v>
      </c>
      <c r="Z92" s="177"/>
      <c r="AA92" s="177"/>
      <c r="AB92" s="41"/>
      <c r="AC92" s="41"/>
      <c r="AD92" s="41"/>
      <c r="AE92" s="123"/>
      <c r="AF92" s="122"/>
      <c r="AG92" s="41"/>
      <c r="AH92" s="41"/>
      <c r="AI92" s="41"/>
      <c r="AJ92" s="41"/>
      <c r="AK92" s="177"/>
      <c r="AL92" s="41"/>
      <c r="AM92" s="41"/>
      <c r="AN92" s="41"/>
      <c r="AO92" s="41"/>
      <c r="AP92" s="41"/>
      <c r="AQ92" s="41"/>
      <c r="AR92" s="41"/>
      <c r="AS92" s="41"/>
      <c r="AT92" s="41"/>
      <c r="AU92" s="12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K92" s="41"/>
      <c r="CL92" s="42"/>
      <c r="CM92" s="42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</row>
    <row r="93" spans="1:123" hidden="1" outlineLevel="1">
      <c r="A93" s="41"/>
      <c r="B93" s="121"/>
      <c r="C93" s="41"/>
      <c r="D93" s="41"/>
      <c r="E93" s="41"/>
      <c r="F93" s="41"/>
      <c r="G93" s="41"/>
      <c r="H93" s="121"/>
      <c r="I93" s="121"/>
      <c r="J93" s="41"/>
      <c r="K93" s="41"/>
      <c r="L93" s="41"/>
      <c r="M93" s="41"/>
      <c r="N93" s="41"/>
      <c r="O93" s="41"/>
      <c r="P93" s="41"/>
      <c r="Q93" s="42"/>
      <c r="R93" s="122"/>
      <c r="S93" s="122"/>
      <c r="T93" s="41"/>
      <c r="U93" s="215" t="e">
        <f t="shared" si="37"/>
        <v>#DIV/0!</v>
      </c>
      <c r="V93" s="41"/>
      <c r="W93" s="41"/>
      <c r="X93" s="41"/>
      <c r="Y93" s="215" t="e">
        <f t="shared" si="38"/>
        <v>#DIV/0!</v>
      </c>
      <c r="Z93" s="177"/>
      <c r="AA93" s="177"/>
      <c r="AB93" s="41"/>
      <c r="AC93" s="41"/>
      <c r="AD93" s="41"/>
      <c r="AE93" s="123"/>
      <c r="AF93" s="122"/>
      <c r="AG93" s="41"/>
      <c r="AH93" s="41"/>
      <c r="AI93" s="41"/>
      <c r="AJ93" s="41"/>
      <c r="AK93" s="177"/>
      <c r="AL93" s="41"/>
      <c r="AM93" s="41"/>
      <c r="AN93" s="41"/>
      <c r="AO93" s="41"/>
      <c r="AP93" s="41"/>
      <c r="AQ93" s="41"/>
      <c r="AR93" s="41"/>
      <c r="AS93" s="41"/>
      <c r="AT93" s="41"/>
      <c r="AU93" s="12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K93" s="41"/>
      <c r="CL93" s="42"/>
      <c r="CM93" s="42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</row>
    <row r="94" spans="1:123" hidden="1" outlineLevel="1">
      <c r="A94" s="41"/>
      <c r="B94" s="121"/>
      <c r="C94" s="41"/>
      <c r="D94" s="41"/>
      <c r="E94" s="41"/>
      <c r="F94" s="41"/>
      <c r="G94" s="41"/>
      <c r="H94" s="121"/>
      <c r="I94" s="121"/>
      <c r="J94" s="41"/>
      <c r="K94" s="41"/>
      <c r="L94" s="41"/>
      <c r="M94" s="41"/>
      <c r="N94" s="41"/>
      <c r="O94" s="41"/>
      <c r="P94" s="41"/>
      <c r="Q94" s="42"/>
      <c r="R94" s="122"/>
      <c r="S94" s="122"/>
      <c r="T94" s="41"/>
      <c r="U94" s="215" t="e">
        <f t="shared" si="37"/>
        <v>#DIV/0!</v>
      </c>
      <c r="V94" s="41"/>
      <c r="W94" s="41"/>
      <c r="X94" s="41"/>
      <c r="Y94" s="215" t="e">
        <f t="shared" si="38"/>
        <v>#DIV/0!</v>
      </c>
      <c r="Z94" s="177"/>
      <c r="AA94" s="177"/>
      <c r="AB94" s="41"/>
      <c r="AC94" s="41"/>
      <c r="AD94" s="41"/>
      <c r="AE94" s="123"/>
      <c r="AF94" s="122"/>
      <c r="AG94" s="41"/>
      <c r="AH94" s="41"/>
      <c r="AI94" s="41"/>
      <c r="AJ94" s="41"/>
      <c r="AK94" s="177"/>
      <c r="AL94" s="41"/>
      <c r="AM94" s="41"/>
      <c r="AN94" s="41"/>
      <c r="AO94" s="41"/>
      <c r="AP94" s="41"/>
      <c r="AQ94" s="41"/>
      <c r="AR94" s="41"/>
      <c r="AS94" s="41"/>
      <c r="AT94" s="41"/>
      <c r="AU94" s="12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K94" s="41"/>
      <c r="CL94" s="42"/>
      <c r="CM94" s="42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</row>
    <row r="95" spans="1:123" hidden="1" outlineLevel="1">
      <c r="A95" s="41"/>
      <c r="B95" s="121"/>
      <c r="C95" s="41"/>
      <c r="D95" s="41"/>
      <c r="E95" s="41"/>
      <c r="F95" s="41"/>
      <c r="G95" s="41"/>
      <c r="H95" s="121"/>
      <c r="I95" s="121"/>
      <c r="J95" s="41"/>
      <c r="K95" s="41"/>
      <c r="L95" s="41"/>
      <c r="M95" s="41"/>
      <c r="N95" s="41"/>
      <c r="O95" s="41"/>
      <c r="P95" s="41"/>
      <c r="Q95" s="42"/>
      <c r="R95" s="122"/>
      <c r="S95" s="122"/>
      <c r="T95" s="41"/>
      <c r="U95" s="215" t="e">
        <f t="shared" si="37"/>
        <v>#DIV/0!</v>
      </c>
      <c r="V95" s="41"/>
      <c r="W95" s="41"/>
      <c r="X95" s="41"/>
      <c r="Y95" s="215" t="e">
        <f t="shared" si="38"/>
        <v>#DIV/0!</v>
      </c>
      <c r="Z95" s="177"/>
      <c r="AA95" s="177"/>
      <c r="AB95" s="41"/>
      <c r="AC95" s="41"/>
      <c r="AD95" s="41"/>
      <c r="AE95" s="123"/>
      <c r="AF95" s="122"/>
      <c r="AG95" s="41"/>
      <c r="AH95" s="41"/>
      <c r="AI95" s="41"/>
      <c r="AJ95" s="41"/>
      <c r="AK95" s="177"/>
      <c r="AL95" s="41"/>
      <c r="AM95" s="41"/>
      <c r="AN95" s="41"/>
      <c r="AO95" s="41"/>
      <c r="AP95" s="41"/>
      <c r="AQ95" s="41"/>
      <c r="AR95" s="41"/>
      <c r="AS95" s="41"/>
      <c r="AT95" s="41"/>
      <c r="AU95" s="12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K95" s="41"/>
      <c r="CL95" s="42"/>
      <c r="CM95" s="42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</row>
    <row r="96" spans="1:123" hidden="1" outlineLevel="1">
      <c r="A96" s="41"/>
      <c r="B96" s="121"/>
      <c r="C96" s="41"/>
      <c r="D96" s="41"/>
      <c r="E96" s="41"/>
      <c r="F96" s="41"/>
      <c r="G96" s="41"/>
      <c r="H96" s="121"/>
      <c r="I96" s="121"/>
      <c r="J96" s="41"/>
      <c r="K96" s="41"/>
      <c r="L96" s="41"/>
      <c r="M96" s="41"/>
      <c r="N96" s="41"/>
      <c r="O96" s="41"/>
      <c r="P96" s="41"/>
      <c r="Q96" s="42"/>
      <c r="R96" s="122"/>
      <c r="S96" s="122"/>
      <c r="T96" s="41"/>
      <c r="U96" s="215" t="e">
        <f t="shared" si="37"/>
        <v>#DIV/0!</v>
      </c>
      <c r="V96" s="41"/>
      <c r="W96" s="41"/>
      <c r="X96" s="41"/>
      <c r="Y96" s="215" t="e">
        <f t="shared" si="38"/>
        <v>#DIV/0!</v>
      </c>
      <c r="Z96" s="177"/>
      <c r="AA96" s="177"/>
      <c r="AB96" s="41"/>
      <c r="AC96" s="41"/>
      <c r="AD96" s="41"/>
      <c r="AE96" s="123"/>
      <c r="AF96" s="122"/>
      <c r="AG96" s="41"/>
      <c r="AH96" s="41"/>
      <c r="AI96" s="41"/>
      <c r="AJ96" s="41"/>
      <c r="AK96" s="177"/>
      <c r="AL96" s="41"/>
      <c r="AM96" s="41"/>
      <c r="AN96" s="41"/>
      <c r="AO96" s="41"/>
      <c r="AP96" s="41"/>
      <c r="AQ96" s="41"/>
      <c r="AR96" s="41"/>
      <c r="AS96" s="41"/>
      <c r="AT96" s="41"/>
      <c r="AU96" s="12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K96" s="41"/>
      <c r="CL96" s="42"/>
      <c r="CM96" s="42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</row>
    <row r="97" spans="1:123" hidden="1" outlineLevel="1">
      <c r="A97" s="41"/>
      <c r="B97" s="121"/>
      <c r="C97" s="41"/>
      <c r="D97" s="41"/>
      <c r="E97" s="41"/>
      <c r="F97" s="41"/>
      <c r="G97" s="41"/>
      <c r="H97" s="121"/>
      <c r="I97" s="121"/>
      <c r="J97" s="41"/>
      <c r="K97" s="41"/>
      <c r="L97" s="41"/>
      <c r="M97" s="41"/>
      <c r="N97" s="41"/>
      <c r="O97" s="41"/>
      <c r="P97" s="41"/>
      <c r="Q97" s="42"/>
      <c r="R97" s="122"/>
      <c r="S97" s="122"/>
      <c r="T97" s="41"/>
      <c r="U97" s="215" t="e">
        <f t="shared" si="37"/>
        <v>#DIV/0!</v>
      </c>
      <c r="V97" s="41"/>
      <c r="W97" s="41"/>
      <c r="X97" s="41"/>
      <c r="Y97" s="215" t="e">
        <f t="shared" si="38"/>
        <v>#DIV/0!</v>
      </c>
      <c r="Z97" s="177"/>
      <c r="AA97" s="177"/>
      <c r="AB97" s="41"/>
      <c r="AC97" s="41"/>
      <c r="AD97" s="41"/>
      <c r="AE97" s="123"/>
      <c r="AF97" s="122"/>
      <c r="AG97" s="41"/>
      <c r="AH97" s="41"/>
      <c r="AI97" s="41"/>
      <c r="AJ97" s="41"/>
      <c r="AK97" s="177"/>
      <c r="AL97" s="41"/>
      <c r="AM97" s="41"/>
      <c r="AN97" s="41"/>
      <c r="AO97" s="41"/>
      <c r="AP97" s="41"/>
      <c r="AQ97" s="41"/>
      <c r="AR97" s="41"/>
      <c r="AS97" s="41"/>
      <c r="AT97" s="41"/>
      <c r="AU97" s="12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K97" s="41"/>
      <c r="CL97" s="42"/>
      <c r="CM97" s="42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</row>
    <row r="98" spans="1:123" hidden="1" outlineLevel="1">
      <c r="A98" s="41"/>
      <c r="B98" s="121"/>
      <c r="C98" s="41"/>
      <c r="D98" s="41"/>
      <c r="E98" s="41"/>
      <c r="F98" s="41"/>
      <c r="G98" s="41"/>
      <c r="H98" s="121"/>
      <c r="I98" s="121"/>
      <c r="J98" s="41"/>
      <c r="K98" s="41"/>
      <c r="L98" s="41"/>
      <c r="M98" s="41"/>
      <c r="N98" s="41"/>
      <c r="O98" s="41"/>
      <c r="P98" s="41"/>
      <c r="Q98" s="42"/>
      <c r="R98" s="122"/>
      <c r="S98" s="122"/>
      <c r="T98" s="41"/>
      <c r="U98" s="215" t="e">
        <f t="shared" si="37"/>
        <v>#DIV/0!</v>
      </c>
      <c r="V98" s="41"/>
      <c r="W98" s="41"/>
      <c r="X98" s="41"/>
      <c r="Y98" s="215" t="e">
        <f t="shared" si="38"/>
        <v>#DIV/0!</v>
      </c>
      <c r="Z98" s="177"/>
      <c r="AA98" s="177"/>
      <c r="AB98" s="41"/>
      <c r="AC98" s="41"/>
      <c r="AD98" s="41"/>
      <c r="AE98" s="123"/>
      <c r="AF98" s="122"/>
      <c r="AG98" s="41"/>
      <c r="AH98" s="41"/>
      <c r="AI98" s="41"/>
      <c r="AJ98" s="41"/>
      <c r="AK98" s="177"/>
      <c r="AL98" s="41"/>
      <c r="AM98" s="41"/>
      <c r="AN98" s="41"/>
      <c r="AO98" s="41"/>
      <c r="AP98" s="41"/>
      <c r="AQ98" s="41"/>
      <c r="AR98" s="41"/>
      <c r="AS98" s="41"/>
      <c r="AT98" s="41"/>
      <c r="AU98" s="12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K98" s="41"/>
      <c r="CL98" s="42"/>
      <c r="CM98" s="42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</row>
    <row r="99" spans="1:123" hidden="1" outlineLevel="1">
      <c r="A99" s="41"/>
      <c r="B99" s="121"/>
      <c r="C99" s="41"/>
      <c r="D99" s="41"/>
      <c r="E99" s="41"/>
      <c r="F99" s="41"/>
      <c r="G99" s="41"/>
      <c r="H99" s="121"/>
      <c r="I99" s="121"/>
      <c r="J99" s="41"/>
      <c r="K99" s="41"/>
      <c r="L99" s="41"/>
      <c r="M99" s="41"/>
      <c r="N99" s="41"/>
      <c r="O99" s="41"/>
      <c r="P99" s="41"/>
      <c r="Q99" s="42"/>
      <c r="R99" s="122"/>
      <c r="S99" s="122"/>
      <c r="T99" s="41"/>
      <c r="U99" s="215" t="e">
        <f t="shared" si="37"/>
        <v>#DIV/0!</v>
      </c>
      <c r="V99" s="41"/>
      <c r="W99" s="41"/>
      <c r="X99" s="41"/>
      <c r="Y99" s="215" t="e">
        <f t="shared" si="38"/>
        <v>#DIV/0!</v>
      </c>
      <c r="Z99" s="177"/>
      <c r="AA99" s="177"/>
      <c r="AB99" s="41"/>
      <c r="AC99" s="41"/>
      <c r="AD99" s="41"/>
      <c r="AE99" s="123"/>
      <c r="AF99" s="122"/>
      <c r="AG99" s="41"/>
      <c r="AH99" s="41"/>
      <c r="AI99" s="41"/>
      <c r="AJ99" s="41"/>
      <c r="AK99" s="177"/>
      <c r="AL99" s="41"/>
      <c r="AM99" s="41"/>
      <c r="AN99" s="41"/>
      <c r="AO99" s="41"/>
      <c r="AP99" s="41"/>
      <c r="AQ99" s="41"/>
      <c r="AR99" s="41"/>
      <c r="AS99" s="41"/>
      <c r="AT99" s="41"/>
      <c r="AU99" s="12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K99" s="41"/>
      <c r="CL99" s="42"/>
      <c r="CM99" s="42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</row>
    <row r="100" spans="1:123" hidden="1" outlineLevel="1">
      <c r="A100" s="41"/>
      <c r="B100" s="121"/>
      <c r="C100" s="41"/>
      <c r="D100" s="41"/>
      <c r="E100" s="41"/>
      <c r="F100" s="41"/>
      <c r="G100" s="41"/>
      <c r="H100" s="121"/>
      <c r="I100" s="121"/>
      <c r="J100" s="41"/>
      <c r="K100" s="41"/>
      <c r="L100" s="41"/>
      <c r="M100" s="41"/>
      <c r="N100" s="41"/>
      <c r="O100" s="41"/>
      <c r="P100" s="41"/>
      <c r="Q100" s="42"/>
      <c r="R100" s="122"/>
      <c r="S100" s="122"/>
      <c r="T100" s="41"/>
      <c r="U100" s="215" t="e">
        <f t="shared" si="37"/>
        <v>#DIV/0!</v>
      </c>
      <c r="V100" s="41"/>
      <c r="W100" s="41"/>
      <c r="X100" s="41"/>
      <c r="Y100" s="215" t="e">
        <f t="shared" si="38"/>
        <v>#DIV/0!</v>
      </c>
      <c r="Z100" s="177"/>
      <c r="AA100" s="177"/>
      <c r="AB100" s="41"/>
      <c r="AC100" s="41"/>
      <c r="AD100" s="41"/>
      <c r="AE100" s="123"/>
      <c r="AF100" s="122"/>
      <c r="AG100" s="41"/>
      <c r="AH100" s="41"/>
      <c r="AI100" s="41"/>
      <c r="AJ100" s="41"/>
      <c r="AK100" s="177"/>
      <c r="AL100" s="41"/>
      <c r="AM100" s="41"/>
      <c r="AN100" s="41"/>
      <c r="AO100" s="41"/>
      <c r="AP100" s="41"/>
      <c r="AQ100" s="41"/>
      <c r="AR100" s="41"/>
      <c r="AS100" s="41"/>
      <c r="AT100" s="41"/>
      <c r="AU100" s="12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K100" s="41"/>
      <c r="CL100" s="42"/>
      <c r="CM100" s="42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</row>
    <row r="101" spans="1:123" hidden="1" outlineLevel="1">
      <c r="A101" s="41"/>
      <c r="B101" s="121"/>
      <c r="C101" s="41"/>
      <c r="D101" s="41"/>
      <c r="E101" s="41"/>
      <c r="F101" s="41"/>
      <c r="G101" s="41"/>
      <c r="H101" s="121"/>
      <c r="I101" s="121"/>
      <c r="J101" s="41"/>
      <c r="K101" s="41"/>
      <c r="L101" s="41"/>
      <c r="M101" s="41"/>
      <c r="N101" s="41"/>
      <c r="O101" s="41"/>
      <c r="P101" s="41"/>
      <c r="Q101" s="42"/>
      <c r="R101" s="122"/>
      <c r="S101" s="122"/>
      <c r="T101" s="41"/>
      <c r="U101" s="215" t="e">
        <f t="shared" si="37"/>
        <v>#DIV/0!</v>
      </c>
      <c r="V101" s="41"/>
      <c r="W101" s="41"/>
      <c r="X101" s="41"/>
      <c r="Y101" s="215" t="e">
        <f t="shared" si="38"/>
        <v>#DIV/0!</v>
      </c>
      <c r="Z101" s="177"/>
      <c r="AA101" s="177"/>
      <c r="AB101" s="41"/>
      <c r="AC101" s="41"/>
      <c r="AD101" s="41"/>
      <c r="AE101" s="123"/>
      <c r="AF101" s="122"/>
      <c r="AG101" s="41"/>
      <c r="AH101" s="41"/>
      <c r="AI101" s="41"/>
      <c r="AJ101" s="41"/>
      <c r="AK101" s="177"/>
      <c r="AL101" s="41"/>
      <c r="AM101" s="41"/>
      <c r="AN101" s="41"/>
      <c r="AO101" s="41"/>
      <c r="AP101" s="41"/>
      <c r="AQ101" s="41"/>
      <c r="AR101" s="41"/>
      <c r="AS101" s="41"/>
      <c r="AT101" s="41"/>
      <c r="AU101" s="12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K101" s="41"/>
      <c r="CL101" s="42"/>
      <c r="CM101" s="42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</row>
    <row r="102" spans="1:123" hidden="1" outlineLevel="1">
      <c r="A102" s="41"/>
      <c r="B102" s="121"/>
      <c r="C102" s="41"/>
      <c r="D102" s="41"/>
      <c r="E102" s="41"/>
      <c r="F102" s="41"/>
      <c r="G102" s="41"/>
      <c r="H102" s="121"/>
      <c r="I102" s="121"/>
      <c r="J102" s="41"/>
      <c r="K102" s="41"/>
      <c r="L102" s="41"/>
      <c r="M102" s="41"/>
      <c r="N102" s="41"/>
      <c r="O102" s="41"/>
      <c r="P102" s="41"/>
      <c r="Q102" s="42"/>
      <c r="R102" s="122"/>
      <c r="S102" s="122"/>
      <c r="T102" s="41"/>
      <c r="U102" s="215" t="e">
        <f t="shared" si="37"/>
        <v>#DIV/0!</v>
      </c>
      <c r="V102" s="41"/>
      <c r="W102" s="41"/>
      <c r="X102" s="41"/>
      <c r="Y102" s="215" t="e">
        <f t="shared" si="38"/>
        <v>#DIV/0!</v>
      </c>
      <c r="Z102" s="177"/>
      <c r="AA102" s="177"/>
      <c r="AB102" s="41"/>
      <c r="AC102" s="41"/>
      <c r="AD102" s="41"/>
      <c r="AE102" s="123"/>
      <c r="AF102" s="122"/>
      <c r="AG102" s="41"/>
      <c r="AH102" s="41"/>
      <c r="AI102" s="41"/>
      <c r="AJ102" s="41"/>
      <c r="AK102" s="177"/>
      <c r="AL102" s="41"/>
      <c r="AM102" s="41"/>
      <c r="AN102" s="41"/>
      <c r="AO102" s="41"/>
      <c r="AP102" s="41"/>
      <c r="AQ102" s="41"/>
      <c r="AR102" s="41"/>
      <c r="AS102" s="41"/>
      <c r="AT102" s="41"/>
      <c r="AU102" s="12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K102" s="41"/>
      <c r="CL102" s="42"/>
      <c r="CM102" s="42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</row>
    <row r="103" spans="1:123" hidden="1" outlineLevel="1">
      <c r="A103" s="41"/>
      <c r="B103" s="121"/>
      <c r="C103" s="41"/>
      <c r="D103" s="41"/>
      <c r="E103" s="41"/>
      <c r="F103" s="41"/>
      <c r="G103" s="41"/>
      <c r="H103" s="121"/>
      <c r="I103" s="121"/>
      <c r="J103" s="41"/>
      <c r="K103" s="41"/>
      <c r="L103" s="41"/>
      <c r="M103" s="41"/>
      <c r="N103" s="41"/>
      <c r="O103" s="41"/>
      <c r="P103" s="41"/>
      <c r="Q103" s="42"/>
      <c r="R103" s="122"/>
      <c r="S103" s="122"/>
      <c r="T103" s="41"/>
      <c r="U103" s="215" t="e">
        <f t="shared" si="37"/>
        <v>#DIV/0!</v>
      </c>
      <c r="V103" s="41"/>
      <c r="W103" s="41"/>
      <c r="X103" s="41"/>
      <c r="Y103" s="215" t="e">
        <f t="shared" si="38"/>
        <v>#DIV/0!</v>
      </c>
      <c r="Z103" s="177"/>
      <c r="AA103" s="177"/>
      <c r="AB103" s="41"/>
      <c r="AC103" s="41"/>
      <c r="AD103" s="41"/>
      <c r="AE103" s="123"/>
      <c r="AF103" s="122"/>
      <c r="AG103" s="41"/>
      <c r="AH103" s="41"/>
      <c r="AI103" s="41"/>
      <c r="AJ103" s="41"/>
      <c r="AK103" s="177"/>
      <c r="AL103" s="41"/>
      <c r="AM103" s="41"/>
      <c r="AN103" s="41"/>
      <c r="AO103" s="41"/>
      <c r="AP103" s="41"/>
      <c r="AQ103" s="41"/>
      <c r="AR103" s="41"/>
      <c r="AS103" s="41"/>
      <c r="AT103" s="41"/>
      <c r="AU103" s="12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K103" s="41"/>
      <c r="CL103" s="42"/>
      <c r="CM103" s="42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</row>
    <row r="104" spans="1:123" hidden="1" outlineLevel="1">
      <c r="A104" s="41"/>
      <c r="B104" s="121"/>
      <c r="C104" s="41"/>
      <c r="D104" s="41"/>
      <c r="E104" s="41"/>
      <c r="F104" s="41"/>
      <c r="G104" s="41"/>
      <c r="H104" s="121"/>
      <c r="I104" s="121"/>
      <c r="J104" s="41"/>
      <c r="K104" s="41"/>
      <c r="L104" s="41"/>
      <c r="M104" s="41"/>
      <c r="N104" s="41"/>
      <c r="O104" s="41"/>
      <c r="P104" s="41"/>
      <c r="Q104" s="42"/>
      <c r="R104" s="122"/>
      <c r="S104" s="122"/>
      <c r="T104" s="41"/>
      <c r="U104" s="215" t="e">
        <f t="shared" si="37"/>
        <v>#DIV/0!</v>
      </c>
      <c r="V104" s="41"/>
      <c r="W104" s="41"/>
      <c r="X104" s="41"/>
      <c r="Y104" s="215" t="e">
        <f t="shared" si="38"/>
        <v>#DIV/0!</v>
      </c>
      <c r="Z104" s="177"/>
      <c r="AA104" s="177"/>
      <c r="AB104" s="41"/>
      <c r="AC104" s="41"/>
      <c r="AD104" s="41"/>
      <c r="AE104" s="123"/>
      <c r="AF104" s="122"/>
      <c r="AG104" s="41"/>
      <c r="AH104" s="41"/>
      <c r="AI104" s="41"/>
      <c r="AJ104" s="41"/>
      <c r="AK104" s="177"/>
      <c r="AL104" s="41"/>
      <c r="AM104" s="41"/>
      <c r="AN104" s="41"/>
      <c r="AO104" s="41"/>
      <c r="AP104" s="41"/>
      <c r="AQ104" s="41"/>
      <c r="AR104" s="41"/>
      <c r="AS104" s="41"/>
      <c r="AT104" s="41"/>
      <c r="AU104" s="12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K104" s="41"/>
      <c r="CL104" s="42"/>
      <c r="CM104" s="42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</row>
    <row r="105" spans="1:123" hidden="1" outlineLevel="1">
      <c r="A105" s="41"/>
      <c r="B105" s="121"/>
      <c r="C105" s="41"/>
      <c r="D105" s="41"/>
      <c r="E105" s="41"/>
      <c r="F105" s="41"/>
      <c r="G105" s="41"/>
      <c r="H105" s="121"/>
      <c r="I105" s="121"/>
      <c r="J105" s="41"/>
      <c r="K105" s="41"/>
      <c r="L105" s="41"/>
      <c r="M105" s="41"/>
      <c r="N105" s="41"/>
      <c r="O105" s="41"/>
      <c r="P105" s="41"/>
      <c r="Q105" s="42"/>
      <c r="R105" s="122"/>
      <c r="S105" s="122"/>
      <c r="T105" s="41"/>
      <c r="U105" s="215" t="e">
        <f t="shared" si="37"/>
        <v>#DIV/0!</v>
      </c>
      <c r="V105" s="41"/>
      <c r="W105" s="41"/>
      <c r="X105" s="41"/>
      <c r="Y105" s="215" t="e">
        <f t="shared" si="38"/>
        <v>#DIV/0!</v>
      </c>
      <c r="Z105" s="177"/>
      <c r="AA105" s="177"/>
      <c r="AB105" s="41"/>
      <c r="AC105" s="41"/>
      <c r="AD105" s="41"/>
      <c r="AE105" s="123"/>
      <c r="AF105" s="122"/>
      <c r="AG105" s="41"/>
      <c r="AH105" s="41"/>
      <c r="AI105" s="41"/>
      <c r="AJ105" s="41"/>
      <c r="AK105" s="177"/>
      <c r="AL105" s="41"/>
      <c r="AM105" s="41"/>
      <c r="AN105" s="41"/>
      <c r="AO105" s="41"/>
      <c r="AP105" s="41"/>
      <c r="AQ105" s="41"/>
      <c r="AR105" s="41"/>
      <c r="AS105" s="41"/>
      <c r="AT105" s="41"/>
      <c r="AU105" s="12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K105" s="41"/>
      <c r="CL105" s="42"/>
      <c r="CM105" s="42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</row>
    <row r="106" spans="1:123" hidden="1" outlineLevel="1">
      <c r="A106" s="41"/>
      <c r="B106" s="121"/>
      <c r="C106" s="41"/>
      <c r="D106" s="41"/>
      <c r="E106" s="41"/>
      <c r="F106" s="41"/>
      <c r="G106" s="41"/>
      <c r="H106" s="121"/>
      <c r="I106" s="121"/>
      <c r="J106" s="41"/>
      <c r="K106" s="41"/>
      <c r="L106" s="41"/>
      <c r="M106" s="41"/>
      <c r="N106" s="41"/>
      <c r="O106" s="41"/>
      <c r="P106" s="41"/>
      <c r="Q106" s="42"/>
      <c r="R106" s="122"/>
      <c r="S106" s="122"/>
      <c r="T106" s="41"/>
      <c r="U106" s="215" t="e">
        <f t="shared" si="37"/>
        <v>#DIV/0!</v>
      </c>
      <c r="V106" s="41"/>
      <c r="W106" s="41"/>
      <c r="X106" s="41"/>
      <c r="Y106" s="215" t="e">
        <f t="shared" si="38"/>
        <v>#DIV/0!</v>
      </c>
      <c r="Z106" s="177"/>
      <c r="AA106" s="177"/>
      <c r="AB106" s="41"/>
      <c r="AC106" s="41"/>
      <c r="AD106" s="41"/>
      <c r="AE106" s="123"/>
      <c r="AF106" s="122"/>
      <c r="AG106" s="41"/>
      <c r="AH106" s="41"/>
      <c r="AI106" s="41"/>
      <c r="AJ106" s="41"/>
      <c r="AK106" s="177"/>
      <c r="AL106" s="41"/>
      <c r="AM106" s="41"/>
      <c r="AN106" s="41"/>
      <c r="AO106" s="41"/>
      <c r="AP106" s="41"/>
      <c r="AQ106" s="41"/>
      <c r="AR106" s="41"/>
      <c r="AS106" s="41"/>
      <c r="AT106" s="41"/>
      <c r="AU106" s="12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K106" s="41"/>
      <c r="CL106" s="42"/>
      <c r="CM106" s="42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</row>
    <row r="107" spans="1:123" hidden="1" outlineLevel="1">
      <c r="A107" s="41"/>
      <c r="B107" s="121"/>
      <c r="C107" s="41"/>
      <c r="D107" s="41"/>
      <c r="E107" s="41"/>
      <c r="F107" s="41"/>
      <c r="G107" s="41"/>
      <c r="H107" s="121"/>
      <c r="I107" s="121"/>
      <c r="J107" s="41"/>
      <c r="K107" s="41"/>
      <c r="L107" s="41"/>
      <c r="M107" s="41"/>
      <c r="N107" s="41"/>
      <c r="O107" s="41"/>
      <c r="P107" s="41"/>
      <c r="Q107" s="42"/>
      <c r="R107" s="122"/>
      <c r="S107" s="122"/>
      <c r="T107" s="41"/>
      <c r="U107" s="215" t="e">
        <f t="shared" si="37"/>
        <v>#DIV/0!</v>
      </c>
      <c r="V107" s="41"/>
      <c r="W107" s="41"/>
      <c r="X107" s="41"/>
      <c r="Y107" s="215" t="e">
        <f t="shared" si="38"/>
        <v>#DIV/0!</v>
      </c>
      <c r="Z107" s="177"/>
      <c r="AA107" s="177"/>
      <c r="AB107" s="41"/>
      <c r="AC107" s="41"/>
      <c r="AD107" s="41"/>
      <c r="AE107" s="123"/>
      <c r="AF107" s="122"/>
      <c r="AG107" s="41"/>
      <c r="AH107" s="41"/>
      <c r="AI107" s="41"/>
      <c r="AJ107" s="41"/>
      <c r="AK107" s="177"/>
      <c r="AL107" s="41"/>
      <c r="AM107" s="41"/>
      <c r="AN107" s="41"/>
      <c r="AO107" s="41"/>
      <c r="AP107" s="41"/>
      <c r="AQ107" s="41"/>
      <c r="AR107" s="41"/>
      <c r="AS107" s="41"/>
      <c r="AT107" s="41"/>
      <c r="AU107" s="12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K107" s="41"/>
      <c r="CL107" s="42"/>
      <c r="CM107" s="42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</row>
    <row r="108" spans="1:123" hidden="1" outlineLevel="1">
      <c r="A108" s="41"/>
      <c r="B108" s="121"/>
      <c r="C108" s="41"/>
      <c r="D108" s="41"/>
      <c r="E108" s="41"/>
      <c r="F108" s="41"/>
      <c r="G108" s="41"/>
      <c r="H108" s="121"/>
      <c r="I108" s="121"/>
      <c r="J108" s="41"/>
      <c r="K108" s="41"/>
      <c r="L108" s="41"/>
      <c r="M108" s="41"/>
      <c r="N108" s="41"/>
      <c r="O108" s="41"/>
      <c r="P108" s="41"/>
      <c r="Q108" s="42"/>
      <c r="R108" s="122"/>
      <c r="S108" s="122"/>
      <c r="T108" s="41"/>
      <c r="U108" s="215" t="e">
        <f t="shared" si="37"/>
        <v>#DIV/0!</v>
      </c>
      <c r="V108" s="41"/>
      <c r="W108" s="41"/>
      <c r="X108" s="41"/>
      <c r="Y108" s="215" t="e">
        <f t="shared" si="38"/>
        <v>#DIV/0!</v>
      </c>
      <c r="Z108" s="177"/>
      <c r="AA108" s="177"/>
      <c r="AB108" s="41"/>
      <c r="AC108" s="41"/>
      <c r="AD108" s="41"/>
      <c r="AE108" s="123"/>
      <c r="AF108" s="122"/>
      <c r="AG108" s="41"/>
      <c r="AH108" s="41"/>
      <c r="AI108" s="41"/>
      <c r="AJ108" s="41"/>
      <c r="AK108" s="177"/>
      <c r="AL108" s="41"/>
      <c r="AM108" s="41"/>
      <c r="AN108" s="41"/>
      <c r="AO108" s="41"/>
      <c r="AP108" s="41"/>
      <c r="AQ108" s="41"/>
      <c r="AR108" s="41"/>
      <c r="AS108" s="41"/>
      <c r="AT108" s="41"/>
      <c r="AU108" s="12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K108" s="41"/>
      <c r="CL108" s="42"/>
      <c r="CM108" s="42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</row>
    <row r="109" spans="1:123" hidden="1" outlineLevel="1">
      <c r="A109" s="124"/>
      <c r="B109" s="46"/>
      <c r="C109" s="41"/>
      <c r="D109" s="41"/>
      <c r="E109" s="13"/>
      <c r="F109" s="13"/>
      <c r="G109" s="41"/>
      <c r="H109" s="46"/>
      <c r="I109" s="46"/>
      <c r="J109" s="48"/>
      <c r="K109" s="48"/>
      <c r="L109" s="48"/>
      <c r="M109" s="48"/>
      <c r="N109" s="48"/>
      <c r="O109" s="48"/>
      <c r="P109" s="48"/>
      <c r="Q109" s="125"/>
      <c r="R109" s="52"/>
      <c r="S109" s="52"/>
      <c r="T109" s="48"/>
      <c r="U109" s="215" t="e">
        <f t="shared" si="37"/>
        <v>#DIV/0!</v>
      </c>
      <c r="V109" s="64"/>
      <c r="W109" s="64"/>
      <c r="X109" s="22"/>
      <c r="Y109" s="215" t="e">
        <f t="shared" si="38"/>
        <v>#DIV/0!</v>
      </c>
      <c r="Z109" s="170"/>
      <c r="AA109" s="170"/>
      <c r="AB109" s="51"/>
      <c r="AC109" s="51"/>
      <c r="AD109" s="51"/>
      <c r="AE109" s="51"/>
      <c r="AF109" s="52"/>
      <c r="AG109" s="53"/>
      <c r="AH109" s="53"/>
      <c r="AI109" s="53"/>
      <c r="AJ109" s="53"/>
      <c r="AK109" s="174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120"/>
      <c r="CB109" s="120"/>
      <c r="CK109" s="41"/>
      <c r="CL109" s="42"/>
      <c r="CM109" s="42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</row>
    <row r="110" spans="1:123" hidden="1" outlineLevel="1">
      <c r="A110" s="124"/>
      <c r="B110" s="46"/>
      <c r="C110" s="41"/>
      <c r="D110" s="41"/>
      <c r="E110" s="13"/>
      <c r="F110" s="13"/>
      <c r="G110" s="41"/>
      <c r="H110" s="46"/>
      <c r="I110" s="46"/>
      <c r="J110" s="48"/>
      <c r="K110" s="48"/>
      <c r="L110" s="48"/>
      <c r="M110" s="48"/>
      <c r="N110" s="48"/>
      <c r="O110" s="48"/>
      <c r="P110" s="48"/>
      <c r="Q110" s="125"/>
      <c r="R110" s="52"/>
      <c r="S110" s="52"/>
      <c r="T110" s="48"/>
      <c r="U110" s="215" t="e">
        <f t="shared" si="37"/>
        <v>#DIV/0!</v>
      </c>
      <c r="V110" s="64"/>
      <c r="W110" s="64"/>
      <c r="X110" s="22"/>
      <c r="Y110" s="215" t="e">
        <f t="shared" si="38"/>
        <v>#DIV/0!</v>
      </c>
      <c r="Z110" s="170"/>
      <c r="AA110" s="170"/>
      <c r="AB110" s="51"/>
      <c r="AC110" s="51"/>
      <c r="AD110" s="51"/>
      <c r="AE110" s="51"/>
      <c r="AF110" s="52"/>
      <c r="AG110" s="53"/>
      <c r="AH110" s="53"/>
      <c r="AI110" s="53"/>
      <c r="AJ110" s="53"/>
      <c r="AK110" s="174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120"/>
      <c r="CB110" s="120"/>
      <c r="CK110" s="41"/>
      <c r="CL110" s="42"/>
      <c r="CM110" s="42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</row>
    <row r="111" spans="1:123" hidden="1" outlineLevel="1">
      <c r="A111" s="124"/>
      <c r="B111" s="46"/>
      <c r="C111" s="41"/>
      <c r="D111" s="41"/>
      <c r="E111" s="13"/>
      <c r="F111" s="13"/>
      <c r="G111" s="41"/>
      <c r="H111" s="46"/>
      <c r="I111" s="46"/>
      <c r="J111" s="48"/>
      <c r="K111" s="48"/>
      <c r="L111" s="48"/>
      <c r="M111" s="48"/>
      <c r="N111" s="48"/>
      <c r="O111" s="48"/>
      <c r="P111" s="48"/>
      <c r="Q111" s="125"/>
      <c r="R111" s="52"/>
      <c r="S111" s="52"/>
      <c r="T111" s="48"/>
      <c r="U111" s="215" t="e">
        <f t="shared" si="37"/>
        <v>#DIV/0!</v>
      </c>
      <c r="V111" s="64"/>
      <c r="W111" s="64"/>
      <c r="X111" s="22"/>
      <c r="Y111" s="215" t="e">
        <f t="shared" si="38"/>
        <v>#DIV/0!</v>
      </c>
      <c r="Z111" s="170"/>
      <c r="AA111" s="170"/>
      <c r="AB111" s="51"/>
      <c r="AC111" s="51"/>
      <c r="AD111" s="51"/>
      <c r="AE111" s="51"/>
      <c r="AF111" s="52"/>
      <c r="AG111" s="53"/>
      <c r="AH111" s="53"/>
      <c r="AI111" s="53"/>
      <c r="AJ111" s="53"/>
      <c r="AK111" s="174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120"/>
      <c r="CB111" s="120"/>
      <c r="CK111" s="41"/>
      <c r="CL111" s="42"/>
      <c r="CM111" s="42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</row>
    <row r="112" spans="1:123" hidden="1" outlineLevel="1">
      <c r="A112" s="124"/>
      <c r="B112" s="46"/>
      <c r="C112" s="41"/>
      <c r="D112" s="41"/>
      <c r="E112" s="13"/>
      <c r="F112" s="13"/>
      <c r="G112" s="41"/>
      <c r="H112" s="46"/>
      <c r="I112" s="46"/>
      <c r="J112" s="48"/>
      <c r="K112" s="48"/>
      <c r="L112" s="48"/>
      <c r="M112" s="48"/>
      <c r="N112" s="48"/>
      <c r="O112" s="48"/>
      <c r="P112" s="48"/>
      <c r="Q112" s="125"/>
      <c r="R112" s="52"/>
      <c r="S112" s="52"/>
      <c r="T112" s="48"/>
      <c r="U112" s="215" t="e">
        <f t="shared" si="37"/>
        <v>#DIV/0!</v>
      </c>
      <c r="V112" s="64"/>
      <c r="W112" s="64"/>
      <c r="X112" s="22"/>
      <c r="Y112" s="215" t="e">
        <f t="shared" si="38"/>
        <v>#DIV/0!</v>
      </c>
      <c r="Z112" s="170"/>
      <c r="AA112" s="170"/>
      <c r="AB112" s="51"/>
      <c r="AC112" s="51"/>
      <c r="AD112" s="51"/>
      <c r="AE112" s="51"/>
      <c r="AF112" s="52"/>
      <c r="AG112" s="53"/>
      <c r="AH112" s="53"/>
      <c r="AI112" s="53"/>
      <c r="AJ112" s="53"/>
      <c r="AK112" s="174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120"/>
      <c r="CB112" s="120"/>
      <c r="CK112" s="41"/>
      <c r="CL112" s="42"/>
      <c r="CM112" s="42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</row>
    <row r="113" spans="1:123" hidden="1" outlineLevel="1">
      <c r="A113" s="124"/>
      <c r="B113" s="46"/>
      <c r="C113" s="41"/>
      <c r="D113" s="41"/>
      <c r="E113" s="13"/>
      <c r="F113" s="13"/>
      <c r="G113" s="41"/>
      <c r="H113" s="46"/>
      <c r="I113" s="46"/>
      <c r="J113" s="48"/>
      <c r="K113" s="48"/>
      <c r="L113" s="48"/>
      <c r="M113" s="48"/>
      <c r="N113" s="48"/>
      <c r="O113" s="48"/>
      <c r="P113" s="48"/>
      <c r="Q113" s="125"/>
      <c r="R113" s="52"/>
      <c r="S113" s="52"/>
      <c r="T113" s="48"/>
      <c r="U113" s="215" t="e">
        <f t="shared" si="37"/>
        <v>#DIV/0!</v>
      </c>
      <c r="V113" s="64"/>
      <c r="W113" s="64"/>
      <c r="X113" s="22"/>
      <c r="Y113" s="215" t="e">
        <f t="shared" si="38"/>
        <v>#DIV/0!</v>
      </c>
      <c r="Z113" s="170"/>
      <c r="AA113" s="170"/>
      <c r="AB113" s="51"/>
      <c r="AC113" s="51"/>
      <c r="AD113" s="51"/>
      <c r="AE113" s="51"/>
      <c r="AF113" s="52"/>
      <c r="AG113" s="53"/>
      <c r="AH113" s="53"/>
      <c r="AI113" s="53"/>
      <c r="AJ113" s="53"/>
      <c r="AK113" s="174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120"/>
      <c r="CB113" s="120"/>
      <c r="CK113" s="41"/>
      <c r="CL113" s="42"/>
      <c r="CM113" s="42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</row>
    <row r="114" spans="1:123" hidden="1" outlineLevel="1">
      <c r="A114" s="41"/>
      <c r="B114" s="46"/>
      <c r="C114" s="41"/>
      <c r="D114" s="41"/>
      <c r="E114" s="13"/>
      <c r="F114" s="13"/>
      <c r="G114" s="41"/>
      <c r="H114" s="46"/>
      <c r="I114" s="46"/>
      <c r="J114" s="48"/>
      <c r="K114" s="48"/>
      <c r="L114" s="48"/>
      <c r="M114" s="48"/>
      <c r="N114" s="48"/>
      <c r="O114" s="48"/>
      <c r="P114" s="48"/>
      <c r="Q114" s="125"/>
      <c r="R114" s="52"/>
      <c r="S114" s="52"/>
      <c r="T114" s="48"/>
      <c r="U114" s="215" t="e">
        <f t="shared" si="37"/>
        <v>#DIV/0!</v>
      </c>
      <c r="V114" s="64"/>
      <c r="W114" s="64"/>
      <c r="X114" s="22"/>
      <c r="Y114" s="215" t="e">
        <f t="shared" si="38"/>
        <v>#DIV/0!</v>
      </c>
      <c r="Z114" s="170"/>
      <c r="AA114" s="170"/>
      <c r="AB114" s="51"/>
      <c r="AC114" s="51"/>
      <c r="AD114" s="51"/>
      <c r="AE114" s="51"/>
      <c r="AF114" s="52"/>
      <c r="AG114" s="53"/>
      <c r="AH114" s="53"/>
      <c r="AI114" s="53"/>
      <c r="AJ114" s="53"/>
      <c r="AK114" s="174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120"/>
      <c r="CB114" s="120"/>
      <c r="CK114" s="41"/>
      <c r="CL114" s="42"/>
      <c r="CM114" s="42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</row>
    <row r="115" spans="1:123" hidden="1" outlineLevel="1">
      <c r="A115" s="41"/>
      <c r="B115" s="46"/>
      <c r="C115" s="41"/>
      <c r="D115" s="41"/>
      <c r="E115" s="13"/>
      <c r="F115" s="13"/>
      <c r="G115" s="41"/>
      <c r="H115" s="46"/>
      <c r="I115" s="46"/>
      <c r="J115" s="48"/>
      <c r="K115" s="48"/>
      <c r="L115" s="48"/>
      <c r="M115" s="48"/>
      <c r="N115" s="48"/>
      <c r="O115" s="48"/>
      <c r="P115" s="48"/>
      <c r="Q115" s="125"/>
      <c r="R115" s="52"/>
      <c r="S115" s="52"/>
      <c r="T115" s="48"/>
      <c r="U115" s="215" t="e">
        <f t="shared" si="37"/>
        <v>#DIV/0!</v>
      </c>
      <c r="V115" s="64"/>
      <c r="W115" s="64"/>
      <c r="X115" s="22"/>
      <c r="Y115" s="215" t="e">
        <f t="shared" si="38"/>
        <v>#DIV/0!</v>
      </c>
      <c r="Z115" s="170"/>
      <c r="AA115" s="170"/>
      <c r="AB115" s="51"/>
      <c r="AC115" s="51"/>
      <c r="AD115" s="51"/>
      <c r="AE115" s="51"/>
      <c r="AF115" s="52"/>
      <c r="AG115" s="53"/>
      <c r="AH115" s="53"/>
      <c r="AI115" s="53"/>
      <c r="AJ115" s="53"/>
      <c r="AK115" s="174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120"/>
      <c r="CB115" s="120"/>
      <c r="CK115" s="41"/>
      <c r="CL115" s="42"/>
      <c r="CM115" s="42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</row>
    <row r="116" spans="1:123" hidden="1" outlineLevel="1">
      <c r="A116" s="41"/>
      <c r="B116" s="46"/>
      <c r="C116" s="41"/>
      <c r="D116" s="41"/>
      <c r="E116" s="13"/>
      <c r="F116" s="13"/>
      <c r="G116" s="41"/>
      <c r="H116" s="46"/>
      <c r="I116" s="46"/>
      <c r="J116" s="48"/>
      <c r="K116" s="48"/>
      <c r="L116" s="48"/>
      <c r="M116" s="48"/>
      <c r="N116" s="48"/>
      <c r="O116" s="48"/>
      <c r="P116" s="48"/>
      <c r="Q116" s="125"/>
      <c r="R116" s="52"/>
      <c r="S116" s="52"/>
      <c r="T116" s="48"/>
      <c r="U116" s="215" t="e">
        <f t="shared" si="37"/>
        <v>#DIV/0!</v>
      </c>
      <c r="V116" s="64"/>
      <c r="W116" s="64"/>
      <c r="X116" s="22"/>
      <c r="Y116" s="215" t="e">
        <f t="shared" si="38"/>
        <v>#DIV/0!</v>
      </c>
      <c r="Z116" s="170"/>
      <c r="AA116" s="170"/>
      <c r="AB116" s="51"/>
      <c r="AC116" s="51"/>
      <c r="AD116" s="51"/>
      <c r="AE116" s="51"/>
      <c r="AF116" s="52"/>
      <c r="AG116" s="53"/>
      <c r="AH116" s="53"/>
      <c r="AI116" s="53"/>
      <c r="AJ116" s="53"/>
      <c r="AK116" s="174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120"/>
      <c r="CB116" s="120"/>
      <c r="CK116" s="41"/>
      <c r="CL116" s="42"/>
      <c r="CM116" s="42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</row>
    <row r="117" spans="1:123" hidden="1" outlineLevel="1">
      <c r="A117" s="41"/>
      <c r="B117" s="46"/>
      <c r="C117" s="41"/>
      <c r="D117" s="41"/>
      <c r="E117" s="13"/>
      <c r="F117" s="13"/>
      <c r="G117" s="41"/>
      <c r="H117" s="46"/>
      <c r="I117" s="46"/>
      <c r="J117" s="48"/>
      <c r="K117" s="48"/>
      <c r="L117" s="48"/>
      <c r="M117" s="48"/>
      <c r="N117" s="48"/>
      <c r="O117" s="48"/>
      <c r="P117" s="48"/>
      <c r="Q117" s="125"/>
      <c r="R117" s="52"/>
      <c r="S117" s="52"/>
      <c r="T117" s="48"/>
      <c r="U117" s="215" t="e">
        <f t="shared" si="37"/>
        <v>#DIV/0!</v>
      </c>
      <c r="V117" s="64"/>
      <c r="W117" s="64"/>
      <c r="X117" s="22"/>
      <c r="Y117" s="215" t="e">
        <f t="shared" si="38"/>
        <v>#DIV/0!</v>
      </c>
      <c r="Z117" s="170"/>
      <c r="AA117" s="170"/>
      <c r="AB117" s="51"/>
      <c r="AC117" s="51"/>
      <c r="AD117" s="51"/>
      <c r="AE117" s="51"/>
      <c r="AF117" s="52"/>
      <c r="AG117" s="53"/>
      <c r="AH117" s="53"/>
      <c r="AI117" s="53"/>
      <c r="AJ117" s="53"/>
      <c r="AK117" s="174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120"/>
      <c r="CB117" s="120"/>
      <c r="CK117" s="41"/>
      <c r="CL117" s="42"/>
      <c r="CM117" s="42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</row>
    <row r="118" spans="1:123" hidden="1" outlineLevel="1">
      <c r="A118" s="41"/>
      <c r="B118" s="46"/>
      <c r="C118" s="41"/>
      <c r="D118" s="41"/>
      <c r="E118" s="13"/>
      <c r="F118" s="13"/>
      <c r="G118" s="41"/>
      <c r="H118" s="46"/>
      <c r="I118" s="46"/>
      <c r="J118" s="48"/>
      <c r="K118" s="48"/>
      <c r="L118" s="48"/>
      <c r="M118" s="48"/>
      <c r="N118" s="48"/>
      <c r="O118" s="48"/>
      <c r="P118" s="48"/>
      <c r="Q118" s="125"/>
      <c r="R118" s="52"/>
      <c r="S118" s="52"/>
      <c r="T118" s="48"/>
      <c r="U118" s="215" t="e">
        <f t="shared" si="37"/>
        <v>#DIV/0!</v>
      </c>
      <c r="V118" s="64"/>
      <c r="W118" s="64"/>
      <c r="X118" s="22"/>
      <c r="Y118" s="215" t="e">
        <f t="shared" si="38"/>
        <v>#DIV/0!</v>
      </c>
      <c r="Z118" s="170"/>
      <c r="AA118" s="170"/>
      <c r="AB118" s="51"/>
      <c r="AC118" s="51"/>
      <c r="AD118" s="51"/>
      <c r="AE118" s="51"/>
      <c r="AF118" s="52"/>
      <c r="AG118" s="53"/>
      <c r="AH118" s="53"/>
      <c r="AI118" s="53"/>
      <c r="AJ118" s="53"/>
      <c r="AK118" s="174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120"/>
      <c r="CB118" s="120"/>
      <c r="CK118" s="41"/>
      <c r="CL118" s="42"/>
      <c r="CM118" s="42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</row>
    <row r="119" spans="1:123" hidden="1" outlineLevel="1">
      <c r="A119" s="41"/>
      <c r="B119" s="46"/>
      <c r="C119" s="41"/>
      <c r="D119" s="41"/>
      <c r="E119" s="13"/>
      <c r="F119" s="13"/>
      <c r="G119" s="41"/>
      <c r="H119" s="46"/>
      <c r="I119" s="46"/>
      <c r="J119" s="48"/>
      <c r="K119" s="48"/>
      <c r="L119" s="48"/>
      <c r="M119" s="48"/>
      <c r="N119" s="48"/>
      <c r="O119" s="48"/>
      <c r="P119" s="48"/>
      <c r="Q119" s="125"/>
      <c r="R119" s="52"/>
      <c r="S119" s="52"/>
      <c r="T119" s="48"/>
      <c r="U119" s="215" t="e">
        <f t="shared" si="37"/>
        <v>#DIV/0!</v>
      </c>
      <c r="V119" s="64"/>
      <c r="W119" s="64"/>
      <c r="X119" s="22"/>
      <c r="Y119" s="215" t="e">
        <f t="shared" si="38"/>
        <v>#DIV/0!</v>
      </c>
      <c r="Z119" s="170"/>
      <c r="AA119" s="170"/>
      <c r="AB119" s="51"/>
      <c r="AC119" s="51"/>
      <c r="AD119" s="51"/>
      <c r="AE119" s="51"/>
      <c r="AF119" s="52"/>
      <c r="AG119" s="53"/>
      <c r="AH119" s="53"/>
      <c r="AI119" s="53"/>
      <c r="AJ119" s="53"/>
      <c r="AK119" s="174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120"/>
      <c r="CB119" s="120"/>
      <c r="CK119" s="41"/>
      <c r="CL119" s="42"/>
      <c r="CM119" s="42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</row>
    <row r="120" spans="1:123" hidden="1" outlineLevel="1">
      <c r="A120" s="41"/>
      <c r="B120" s="46"/>
      <c r="C120" s="41"/>
      <c r="D120" s="41"/>
      <c r="E120" s="13"/>
      <c r="F120" s="13"/>
      <c r="G120" s="41"/>
      <c r="H120" s="46"/>
      <c r="I120" s="46"/>
      <c r="J120" s="48"/>
      <c r="K120" s="48"/>
      <c r="L120" s="48"/>
      <c r="M120" s="48"/>
      <c r="N120" s="48"/>
      <c r="O120" s="48"/>
      <c r="P120" s="48"/>
      <c r="Q120" s="125"/>
      <c r="R120" s="52"/>
      <c r="S120" s="52"/>
      <c r="T120" s="48"/>
      <c r="U120" s="215" t="e">
        <f t="shared" si="37"/>
        <v>#DIV/0!</v>
      </c>
      <c r="V120" s="64"/>
      <c r="W120" s="64"/>
      <c r="X120" s="22"/>
      <c r="Y120" s="215" t="e">
        <f t="shared" si="38"/>
        <v>#DIV/0!</v>
      </c>
      <c r="Z120" s="170"/>
      <c r="AA120" s="170"/>
      <c r="AB120" s="51"/>
      <c r="AC120" s="51"/>
      <c r="AD120" s="51"/>
      <c r="AE120" s="51"/>
      <c r="AF120" s="52"/>
      <c r="AG120" s="53"/>
      <c r="AH120" s="53"/>
      <c r="AI120" s="53"/>
      <c r="AJ120" s="53"/>
      <c r="AK120" s="174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120"/>
      <c r="CB120" s="120"/>
      <c r="CK120" s="41"/>
      <c r="CL120" s="42"/>
      <c r="CM120" s="42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</row>
    <row r="121" spans="1:123" hidden="1" outlineLevel="1">
      <c r="A121" s="41"/>
      <c r="B121" s="46"/>
      <c r="C121" s="41"/>
      <c r="D121" s="41"/>
      <c r="E121" s="13"/>
      <c r="F121" s="13"/>
      <c r="G121" s="41"/>
      <c r="H121" s="46"/>
      <c r="I121" s="46"/>
      <c r="J121" s="48"/>
      <c r="K121" s="48"/>
      <c r="L121" s="48"/>
      <c r="M121" s="48"/>
      <c r="N121" s="48"/>
      <c r="O121" s="48"/>
      <c r="P121" s="48"/>
      <c r="Q121" s="125"/>
      <c r="R121" s="52"/>
      <c r="S121" s="52"/>
      <c r="T121" s="48"/>
      <c r="U121" s="215" t="e">
        <f t="shared" si="37"/>
        <v>#DIV/0!</v>
      </c>
      <c r="V121" s="64"/>
      <c r="W121" s="64"/>
      <c r="X121" s="22"/>
      <c r="Y121" s="215" t="e">
        <f t="shared" si="38"/>
        <v>#DIV/0!</v>
      </c>
      <c r="Z121" s="170"/>
      <c r="AA121" s="170"/>
      <c r="AB121" s="51"/>
      <c r="AC121" s="51"/>
      <c r="AD121" s="51"/>
      <c r="AE121" s="51"/>
      <c r="AF121" s="52"/>
      <c r="AG121" s="53"/>
      <c r="AH121" s="53"/>
      <c r="AI121" s="53"/>
      <c r="AJ121" s="53"/>
      <c r="AK121" s="174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120"/>
      <c r="CB121" s="120"/>
      <c r="CK121" s="41"/>
      <c r="CL121" s="42"/>
      <c r="CM121" s="42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</row>
    <row r="122" spans="1:123" hidden="1" outlineLevel="1">
      <c r="A122" s="41"/>
      <c r="B122" s="46"/>
      <c r="C122" s="41"/>
      <c r="D122" s="41"/>
      <c r="E122" s="13"/>
      <c r="F122" s="13"/>
      <c r="G122" s="41"/>
      <c r="H122" s="46"/>
      <c r="I122" s="46"/>
      <c r="J122" s="48"/>
      <c r="K122" s="48"/>
      <c r="L122" s="48"/>
      <c r="M122" s="48"/>
      <c r="N122" s="48"/>
      <c r="O122" s="48"/>
      <c r="P122" s="48"/>
      <c r="Q122" s="125"/>
      <c r="R122" s="52"/>
      <c r="S122" s="52"/>
      <c r="T122" s="48"/>
      <c r="U122" s="215" t="e">
        <f t="shared" si="37"/>
        <v>#DIV/0!</v>
      </c>
      <c r="V122" s="64"/>
      <c r="W122" s="64"/>
      <c r="X122" s="22"/>
      <c r="Y122" s="215" t="e">
        <f t="shared" si="38"/>
        <v>#DIV/0!</v>
      </c>
      <c r="Z122" s="170"/>
      <c r="AA122" s="170"/>
      <c r="AB122" s="51"/>
      <c r="AC122" s="51"/>
      <c r="AD122" s="51"/>
      <c r="AE122" s="51"/>
      <c r="AF122" s="52"/>
      <c r="AG122" s="53"/>
      <c r="AH122" s="53"/>
      <c r="AI122" s="53"/>
      <c r="AJ122" s="53"/>
      <c r="AK122" s="174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120"/>
      <c r="CB122" s="120"/>
      <c r="CK122" s="41"/>
      <c r="CL122" s="42"/>
      <c r="CM122" s="42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</row>
    <row r="123" spans="1:123" hidden="1" outlineLevel="1">
      <c r="A123" s="41"/>
      <c r="B123" s="46"/>
      <c r="C123" s="41"/>
      <c r="D123" s="41"/>
      <c r="E123" s="13"/>
      <c r="F123" s="13"/>
      <c r="G123" s="41"/>
      <c r="H123" s="46"/>
      <c r="I123" s="46"/>
      <c r="J123" s="48"/>
      <c r="K123" s="48"/>
      <c r="L123" s="48"/>
      <c r="M123" s="48"/>
      <c r="N123" s="48"/>
      <c r="O123" s="48"/>
      <c r="P123" s="48"/>
      <c r="Q123" s="125"/>
      <c r="R123" s="52"/>
      <c r="S123" s="52"/>
      <c r="T123" s="48"/>
      <c r="U123" s="215" t="e">
        <f t="shared" si="37"/>
        <v>#DIV/0!</v>
      </c>
      <c r="V123" s="64"/>
      <c r="W123" s="64"/>
      <c r="X123" s="22"/>
      <c r="Y123" s="215" t="e">
        <f t="shared" si="38"/>
        <v>#DIV/0!</v>
      </c>
      <c r="Z123" s="170"/>
      <c r="AA123" s="170"/>
      <c r="AB123" s="51"/>
      <c r="AC123" s="51"/>
      <c r="AD123" s="51"/>
      <c r="AE123" s="51"/>
      <c r="AF123" s="52"/>
      <c r="AG123" s="53"/>
      <c r="AH123" s="53"/>
      <c r="AI123" s="53"/>
      <c r="AJ123" s="53"/>
      <c r="AK123" s="174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120"/>
      <c r="CB123" s="120"/>
      <c r="CK123" s="41"/>
      <c r="CL123" s="42"/>
      <c r="CM123" s="42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</row>
    <row r="124" spans="1:123" hidden="1" outlineLevel="1">
      <c r="A124" s="41"/>
      <c r="B124" s="46"/>
      <c r="C124" s="41"/>
      <c r="D124" s="41"/>
      <c r="E124" s="13"/>
      <c r="F124" s="13"/>
      <c r="G124" s="41"/>
      <c r="H124" s="46"/>
      <c r="I124" s="46"/>
      <c r="J124" s="48"/>
      <c r="K124" s="48"/>
      <c r="L124" s="48"/>
      <c r="M124" s="48"/>
      <c r="N124" s="48"/>
      <c r="O124" s="48"/>
      <c r="P124" s="48"/>
      <c r="Q124" s="125"/>
      <c r="R124" s="52"/>
      <c r="S124" s="52"/>
      <c r="T124" s="48"/>
      <c r="U124" s="215" t="e">
        <f t="shared" si="37"/>
        <v>#DIV/0!</v>
      </c>
      <c r="V124" s="64"/>
      <c r="W124" s="64"/>
      <c r="X124" s="22"/>
      <c r="Y124" s="215" t="e">
        <f t="shared" si="38"/>
        <v>#DIV/0!</v>
      </c>
      <c r="Z124" s="170"/>
      <c r="AA124" s="170"/>
      <c r="AB124" s="51"/>
      <c r="AC124" s="51"/>
      <c r="AD124" s="51"/>
      <c r="AE124" s="51"/>
      <c r="AF124" s="52"/>
      <c r="AG124" s="53"/>
      <c r="AH124" s="53"/>
      <c r="AI124" s="53"/>
      <c r="AJ124" s="53"/>
      <c r="AK124" s="174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120"/>
      <c r="CB124" s="120"/>
      <c r="CK124" s="41"/>
      <c r="CL124" s="42"/>
      <c r="CM124" s="42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</row>
    <row r="125" spans="1:123" hidden="1" outlineLevel="1">
      <c r="A125" s="41"/>
      <c r="B125" s="46"/>
      <c r="C125" s="41"/>
      <c r="D125" s="41"/>
      <c r="E125" s="13"/>
      <c r="F125" s="13"/>
      <c r="G125" s="41"/>
      <c r="H125" s="46"/>
      <c r="I125" s="46"/>
      <c r="J125" s="48"/>
      <c r="K125" s="48"/>
      <c r="L125" s="48"/>
      <c r="M125" s="48"/>
      <c r="N125" s="48"/>
      <c r="O125" s="48"/>
      <c r="P125" s="48"/>
      <c r="Q125" s="125"/>
      <c r="R125" s="52"/>
      <c r="S125" s="52"/>
      <c r="T125" s="48"/>
      <c r="U125" s="215" t="e">
        <f t="shared" si="37"/>
        <v>#DIV/0!</v>
      </c>
      <c r="V125" s="64"/>
      <c r="W125" s="64"/>
      <c r="X125" s="22"/>
      <c r="Y125" s="215" t="e">
        <f t="shared" si="38"/>
        <v>#DIV/0!</v>
      </c>
      <c r="Z125" s="170"/>
      <c r="AA125" s="170"/>
      <c r="AB125" s="51"/>
      <c r="AC125" s="51"/>
      <c r="AD125" s="51"/>
      <c r="AE125" s="51"/>
      <c r="AF125" s="52"/>
      <c r="AG125" s="53"/>
      <c r="AH125" s="53"/>
      <c r="AI125" s="53"/>
      <c r="AJ125" s="53"/>
      <c r="AK125" s="174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120"/>
      <c r="CB125" s="120"/>
      <c r="CK125" s="41"/>
      <c r="CL125" s="42"/>
      <c r="CM125" s="42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</row>
    <row r="126" spans="1:123" hidden="1" outlineLevel="1">
      <c r="A126" s="41"/>
      <c r="B126" s="46"/>
      <c r="C126" s="41"/>
      <c r="D126" s="41"/>
      <c r="E126" s="13"/>
      <c r="F126" s="13"/>
      <c r="G126" s="41"/>
      <c r="H126" s="46"/>
      <c r="I126" s="46"/>
      <c r="J126" s="48"/>
      <c r="K126" s="48"/>
      <c r="L126" s="48"/>
      <c r="M126" s="48"/>
      <c r="N126" s="48"/>
      <c r="O126" s="48"/>
      <c r="P126" s="48"/>
      <c r="Q126" s="125"/>
      <c r="R126" s="52"/>
      <c r="S126" s="52"/>
      <c r="T126" s="48"/>
      <c r="U126" s="215" t="e">
        <f t="shared" si="37"/>
        <v>#DIV/0!</v>
      </c>
      <c r="V126" s="64"/>
      <c r="W126" s="64"/>
      <c r="X126" s="22"/>
      <c r="Y126" s="215" t="e">
        <f t="shared" si="38"/>
        <v>#DIV/0!</v>
      </c>
      <c r="Z126" s="170"/>
      <c r="AA126" s="170"/>
      <c r="AB126" s="51"/>
      <c r="AC126" s="51"/>
      <c r="AD126" s="51"/>
      <c r="AE126" s="51"/>
      <c r="AF126" s="52"/>
      <c r="AG126" s="53"/>
      <c r="AH126" s="53"/>
      <c r="AI126" s="53"/>
      <c r="AJ126" s="53"/>
      <c r="AK126" s="174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120"/>
      <c r="CB126" s="120"/>
      <c r="CK126" s="41"/>
      <c r="CL126" s="42"/>
      <c r="CM126" s="42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</row>
    <row r="127" spans="1:123" hidden="1" outlineLevel="1">
      <c r="A127" s="41"/>
      <c r="B127" s="46"/>
      <c r="C127" s="41"/>
      <c r="D127" s="41"/>
      <c r="E127" s="13"/>
      <c r="F127" s="13"/>
      <c r="G127" s="41"/>
      <c r="H127" s="46"/>
      <c r="I127" s="46"/>
      <c r="J127" s="48"/>
      <c r="K127" s="48"/>
      <c r="L127" s="48"/>
      <c r="M127" s="48"/>
      <c r="N127" s="48"/>
      <c r="O127" s="48"/>
      <c r="P127" s="48"/>
      <c r="Q127" s="125"/>
      <c r="R127" s="52"/>
      <c r="S127" s="52"/>
      <c r="T127" s="48"/>
      <c r="U127" s="215" t="e">
        <f t="shared" si="37"/>
        <v>#DIV/0!</v>
      </c>
      <c r="V127" s="64"/>
      <c r="W127" s="64"/>
      <c r="X127" s="22"/>
      <c r="Y127" s="215" t="e">
        <f t="shared" si="38"/>
        <v>#DIV/0!</v>
      </c>
      <c r="Z127" s="170"/>
      <c r="AA127" s="170"/>
      <c r="AB127" s="51"/>
      <c r="AC127" s="51"/>
      <c r="AD127" s="51"/>
      <c r="AE127" s="51"/>
      <c r="AF127" s="52"/>
      <c r="AG127" s="53"/>
      <c r="AH127" s="53"/>
      <c r="AI127" s="53"/>
      <c r="AJ127" s="53"/>
      <c r="AK127" s="174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120"/>
      <c r="CB127" s="120"/>
      <c r="CK127" s="41"/>
      <c r="CL127" s="42"/>
      <c r="CM127" s="42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</row>
    <row r="128" spans="1:123" hidden="1" outlineLevel="1">
      <c r="A128" s="41"/>
      <c r="B128" s="46"/>
      <c r="C128" s="41"/>
      <c r="D128" s="41"/>
      <c r="E128" s="13"/>
      <c r="F128" s="13"/>
      <c r="G128" s="41"/>
      <c r="H128" s="46"/>
      <c r="I128" s="46"/>
      <c r="J128" s="48"/>
      <c r="K128" s="48"/>
      <c r="L128" s="48"/>
      <c r="M128" s="48"/>
      <c r="N128" s="48"/>
      <c r="O128" s="48"/>
      <c r="P128" s="48"/>
      <c r="Q128" s="125"/>
      <c r="R128" s="52"/>
      <c r="S128" s="52"/>
      <c r="T128" s="48"/>
      <c r="U128" s="215" t="e">
        <f t="shared" si="37"/>
        <v>#DIV/0!</v>
      </c>
      <c r="V128" s="64"/>
      <c r="W128" s="64"/>
      <c r="X128" s="22"/>
      <c r="Y128" s="215" t="e">
        <f t="shared" si="38"/>
        <v>#DIV/0!</v>
      </c>
      <c r="Z128" s="170"/>
      <c r="AA128" s="170"/>
      <c r="AB128" s="51"/>
      <c r="AC128" s="51"/>
      <c r="AD128" s="51"/>
      <c r="AE128" s="51"/>
      <c r="AF128" s="52"/>
      <c r="AG128" s="53"/>
      <c r="AH128" s="53"/>
      <c r="AI128" s="53"/>
      <c r="AJ128" s="53"/>
      <c r="AK128" s="174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120"/>
      <c r="CB128" s="120"/>
      <c r="CK128" s="41"/>
      <c r="CL128" s="42"/>
      <c r="CM128" s="42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</row>
    <row r="129" spans="1:123" hidden="1" outlineLevel="1">
      <c r="A129" s="41"/>
      <c r="B129" s="46"/>
      <c r="C129" s="41"/>
      <c r="D129" s="41"/>
      <c r="E129" s="13"/>
      <c r="F129" s="13"/>
      <c r="G129" s="41"/>
      <c r="H129" s="46"/>
      <c r="I129" s="46"/>
      <c r="J129" s="48"/>
      <c r="K129" s="48"/>
      <c r="L129" s="48"/>
      <c r="M129" s="48"/>
      <c r="N129" s="48"/>
      <c r="O129" s="48"/>
      <c r="P129" s="48"/>
      <c r="Q129" s="125"/>
      <c r="R129" s="52"/>
      <c r="S129" s="52"/>
      <c r="T129" s="48"/>
      <c r="U129" s="215" t="e">
        <f t="shared" si="37"/>
        <v>#DIV/0!</v>
      </c>
      <c r="V129" s="64"/>
      <c r="W129" s="64"/>
      <c r="X129" s="22"/>
      <c r="Y129" s="215" t="e">
        <f t="shared" si="38"/>
        <v>#DIV/0!</v>
      </c>
      <c r="Z129" s="170"/>
      <c r="AA129" s="170"/>
      <c r="AB129" s="51"/>
      <c r="AC129" s="51"/>
      <c r="AD129" s="51"/>
      <c r="AE129" s="51"/>
      <c r="AF129" s="52"/>
      <c r="AG129" s="53"/>
      <c r="AH129" s="53"/>
      <c r="AI129" s="53"/>
      <c r="AJ129" s="53"/>
      <c r="AK129" s="174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120"/>
      <c r="CB129" s="120"/>
      <c r="CK129" s="41"/>
      <c r="CL129" s="42"/>
      <c r="CM129" s="42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</row>
    <row r="130" spans="1:123" hidden="1" outlineLevel="1">
      <c r="A130" s="41"/>
      <c r="B130" s="46"/>
      <c r="C130" s="41"/>
      <c r="D130" s="41"/>
      <c r="E130" s="13"/>
      <c r="F130" s="13"/>
      <c r="G130" s="41"/>
      <c r="H130" s="46"/>
      <c r="I130" s="46"/>
      <c r="J130" s="48"/>
      <c r="K130" s="48"/>
      <c r="L130" s="48"/>
      <c r="M130" s="48"/>
      <c r="N130" s="48"/>
      <c r="O130" s="48"/>
      <c r="P130" s="48"/>
      <c r="Q130" s="125"/>
      <c r="R130" s="52"/>
      <c r="S130" s="52"/>
      <c r="T130" s="48"/>
      <c r="U130" s="215" t="e">
        <f t="shared" si="37"/>
        <v>#DIV/0!</v>
      </c>
      <c r="V130" s="64"/>
      <c r="W130" s="64"/>
      <c r="X130" s="22"/>
      <c r="Y130" s="215" t="e">
        <f t="shared" si="38"/>
        <v>#DIV/0!</v>
      </c>
      <c r="Z130" s="170"/>
      <c r="AA130" s="170"/>
      <c r="AB130" s="51"/>
      <c r="AC130" s="51"/>
      <c r="AD130" s="51"/>
      <c r="AE130" s="51"/>
      <c r="AF130" s="52"/>
      <c r="AG130" s="53"/>
      <c r="AH130" s="53"/>
      <c r="AI130" s="53"/>
      <c r="AJ130" s="53"/>
      <c r="AK130" s="174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120"/>
      <c r="CB130" s="120"/>
      <c r="CK130" s="41"/>
      <c r="CL130" s="42"/>
      <c r="CM130" s="42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</row>
    <row r="131" spans="1:123" hidden="1" outlineLevel="1">
      <c r="A131" s="41"/>
      <c r="B131" s="46"/>
      <c r="C131" s="41"/>
      <c r="D131" s="41"/>
      <c r="E131" s="13"/>
      <c r="F131" s="13"/>
      <c r="G131" s="41"/>
      <c r="H131" s="46"/>
      <c r="I131" s="46"/>
      <c r="J131" s="48"/>
      <c r="K131" s="48"/>
      <c r="L131" s="48"/>
      <c r="M131" s="48"/>
      <c r="N131" s="48"/>
      <c r="O131" s="48"/>
      <c r="P131" s="48"/>
      <c r="Q131" s="125"/>
      <c r="R131" s="52"/>
      <c r="S131" s="52"/>
      <c r="T131" s="48"/>
      <c r="U131" s="215" t="e">
        <f t="shared" si="37"/>
        <v>#DIV/0!</v>
      </c>
      <c r="V131" s="64"/>
      <c r="W131" s="64"/>
      <c r="X131" s="22"/>
      <c r="Y131" s="215" t="e">
        <f t="shared" si="38"/>
        <v>#DIV/0!</v>
      </c>
      <c r="Z131" s="170"/>
      <c r="AA131" s="170"/>
      <c r="AB131" s="51"/>
      <c r="AC131" s="51"/>
      <c r="AD131" s="51"/>
      <c r="AE131" s="51"/>
      <c r="AF131" s="52"/>
      <c r="AG131" s="53"/>
      <c r="AH131" s="53"/>
      <c r="AI131" s="53"/>
      <c r="AJ131" s="53"/>
      <c r="AK131" s="174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120"/>
      <c r="CB131" s="120"/>
      <c r="CK131" s="41"/>
      <c r="CL131" s="42"/>
      <c r="CM131" s="42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</row>
    <row r="132" spans="1:123" hidden="1" outlineLevel="1">
      <c r="A132" s="41"/>
      <c r="B132" s="46"/>
      <c r="C132" s="41"/>
      <c r="D132" s="41"/>
      <c r="E132" s="13"/>
      <c r="F132" s="13"/>
      <c r="G132" s="41"/>
      <c r="H132" s="46"/>
      <c r="I132" s="46"/>
      <c r="J132" s="48"/>
      <c r="K132" s="48"/>
      <c r="L132" s="48"/>
      <c r="M132" s="48"/>
      <c r="N132" s="48"/>
      <c r="O132" s="48"/>
      <c r="P132" s="48"/>
      <c r="Q132" s="125"/>
      <c r="R132" s="52"/>
      <c r="S132" s="52"/>
      <c r="T132" s="48"/>
      <c r="U132" s="215" t="e">
        <f t="shared" si="37"/>
        <v>#DIV/0!</v>
      </c>
      <c r="V132" s="64"/>
      <c r="W132" s="64"/>
      <c r="X132" s="22"/>
      <c r="Y132" s="215" t="e">
        <f t="shared" si="38"/>
        <v>#DIV/0!</v>
      </c>
      <c r="Z132" s="170"/>
      <c r="AA132" s="170"/>
      <c r="AB132" s="51"/>
      <c r="AC132" s="51"/>
      <c r="AD132" s="51"/>
      <c r="AE132" s="51"/>
      <c r="AF132" s="52"/>
      <c r="AG132" s="53"/>
      <c r="AH132" s="53"/>
      <c r="AI132" s="53"/>
      <c r="AJ132" s="53"/>
      <c r="AK132" s="174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120"/>
      <c r="CB132" s="120"/>
      <c r="CK132" s="41"/>
      <c r="CL132" s="42"/>
      <c r="CM132" s="42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</row>
    <row r="133" spans="1:123" hidden="1" outlineLevel="1">
      <c r="A133" s="41"/>
      <c r="B133" s="46"/>
      <c r="C133" s="41"/>
      <c r="D133" s="41"/>
      <c r="E133" s="13"/>
      <c r="F133" s="13"/>
      <c r="G133" s="126"/>
      <c r="H133" s="46"/>
      <c r="I133" s="46"/>
      <c r="J133" s="62"/>
      <c r="K133" s="62"/>
      <c r="L133" s="48"/>
      <c r="M133" s="48"/>
      <c r="N133" s="62"/>
      <c r="O133" s="62"/>
      <c r="P133" s="62"/>
      <c r="Q133" s="127"/>
      <c r="R133" s="52"/>
      <c r="S133" s="52"/>
      <c r="T133" s="62"/>
      <c r="U133" s="215" t="e">
        <f t="shared" si="37"/>
        <v>#DIV/0!</v>
      </c>
      <c r="V133" s="52"/>
      <c r="W133" s="52"/>
      <c r="X133" s="22"/>
      <c r="Y133" s="215" t="e">
        <f t="shared" si="38"/>
        <v>#DIV/0!</v>
      </c>
      <c r="Z133" s="170"/>
      <c r="AA133" s="170"/>
      <c r="AB133" s="51"/>
      <c r="AC133" s="51"/>
      <c r="AD133" s="51"/>
      <c r="AE133" s="51"/>
      <c r="AF133" s="52"/>
      <c r="AG133" s="52"/>
      <c r="AH133" s="52"/>
      <c r="AI133" s="52"/>
      <c r="AJ133" s="52"/>
      <c r="AK133" s="174"/>
      <c r="AL133" s="62"/>
      <c r="AM133" s="62"/>
      <c r="AN133" s="62"/>
      <c r="AO133" s="62"/>
      <c r="AP133" s="62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120"/>
      <c r="CB133" s="120"/>
      <c r="CK133" s="41"/>
      <c r="CL133" s="42"/>
      <c r="CM133" s="42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</row>
    <row r="134" spans="1:123" hidden="1" outlineLevel="1">
      <c r="A134" s="41"/>
      <c r="B134" s="46"/>
      <c r="C134" s="41"/>
      <c r="D134" s="41"/>
      <c r="E134" s="13"/>
      <c r="F134" s="13"/>
      <c r="G134" s="41"/>
      <c r="H134" s="46"/>
      <c r="I134" s="46"/>
      <c r="J134" s="48"/>
      <c r="K134" s="48"/>
      <c r="L134" s="48"/>
      <c r="M134" s="48"/>
      <c r="N134" s="48"/>
      <c r="O134" s="48"/>
      <c r="P134" s="48"/>
      <c r="Q134" s="125"/>
      <c r="R134" s="52"/>
      <c r="S134" s="52"/>
      <c r="T134" s="48"/>
      <c r="U134" s="215" t="e">
        <f t="shared" si="37"/>
        <v>#DIV/0!</v>
      </c>
      <c r="V134" s="64"/>
      <c r="W134" s="64"/>
      <c r="X134" s="22"/>
      <c r="Y134" s="215" t="e">
        <f t="shared" si="38"/>
        <v>#DIV/0!</v>
      </c>
      <c r="Z134" s="170"/>
      <c r="AA134" s="170"/>
      <c r="AB134" s="51"/>
      <c r="AC134" s="51"/>
      <c r="AD134" s="51"/>
      <c r="AE134" s="51"/>
      <c r="AF134" s="52"/>
      <c r="AG134" s="53"/>
      <c r="AH134" s="53"/>
      <c r="AI134" s="53"/>
      <c r="AJ134" s="53"/>
      <c r="AK134" s="174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120"/>
      <c r="CB134" s="120"/>
      <c r="CK134" s="41"/>
      <c r="CL134" s="42"/>
      <c r="CM134" s="42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</row>
    <row r="135" spans="1:123" hidden="1" outlineLevel="1">
      <c r="A135" s="41"/>
      <c r="B135" s="46"/>
      <c r="C135" s="41"/>
      <c r="D135" s="41"/>
      <c r="E135" s="13"/>
      <c r="F135" s="13"/>
      <c r="G135" s="41"/>
      <c r="H135" s="46"/>
      <c r="I135" s="46"/>
      <c r="J135" s="48"/>
      <c r="K135" s="48"/>
      <c r="L135" s="48"/>
      <c r="M135" s="48"/>
      <c r="N135" s="48"/>
      <c r="O135" s="48"/>
      <c r="P135" s="48"/>
      <c r="Q135" s="125"/>
      <c r="R135" s="52"/>
      <c r="S135" s="52"/>
      <c r="T135" s="48"/>
      <c r="U135" s="215" t="e">
        <f t="shared" si="37"/>
        <v>#DIV/0!</v>
      </c>
      <c r="V135" s="64"/>
      <c r="W135" s="64"/>
      <c r="X135" s="22"/>
      <c r="Y135" s="215" t="e">
        <f t="shared" si="38"/>
        <v>#DIV/0!</v>
      </c>
      <c r="Z135" s="170"/>
      <c r="AA135" s="170"/>
      <c r="AB135" s="51"/>
      <c r="AC135" s="51"/>
      <c r="AD135" s="51"/>
      <c r="AE135" s="51"/>
      <c r="AF135" s="52"/>
      <c r="AG135" s="53"/>
      <c r="AH135" s="53"/>
      <c r="AI135" s="53"/>
      <c r="AJ135" s="53"/>
      <c r="AK135" s="174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120"/>
      <c r="CB135" s="120"/>
      <c r="CK135" s="41"/>
      <c r="CL135" s="42"/>
      <c r="CM135" s="42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</row>
    <row r="136" spans="1:123" hidden="1" outlineLevel="1">
      <c r="A136" s="41"/>
      <c r="B136" s="46"/>
      <c r="C136" s="41"/>
      <c r="D136" s="41"/>
      <c r="E136" s="13"/>
      <c r="F136" s="13"/>
      <c r="G136" s="41"/>
      <c r="H136" s="46"/>
      <c r="I136" s="46"/>
      <c r="J136" s="48"/>
      <c r="K136" s="48"/>
      <c r="L136" s="48"/>
      <c r="M136" s="48"/>
      <c r="N136" s="48"/>
      <c r="O136" s="48"/>
      <c r="P136" s="48"/>
      <c r="Q136" s="125"/>
      <c r="R136" s="52"/>
      <c r="S136" s="52"/>
      <c r="T136" s="48"/>
      <c r="U136" s="215" t="e">
        <f t="shared" ref="U136:U199" si="39">V136/R136</f>
        <v>#DIV/0!</v>
      </c>
      <c r="V136" s="64"/>
      <c r="W136" s="64"/>
      <c r="X136" s="22"/>
      <c r="Y136" s="215" t="e">
        <f t="shared" ref="Y136:Y199" si="40">Z136/R136</f>
        <v>#DIV/0!</v>
      </c>
      <c r="Z136" s="170"/>
      <c r="AA136" s="170"/>
      <c r="AB136" s="51"/>
      <c r="AC136" s="51"/>
      <c r="AD136" s="51"/>
      <c r="AE136" s="51"/>
      <c r="AF136" s="52"/>
      <c r="AG136" s="53"/>
      <c r="AH136" s="53"/>
      <c r="AI136" s="53"/>
      <c r="AJ136" s="53"/>
      <c r="AK136" s="174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120"/>
      <c r="CB136" s="120"/>
      <c r="CK136" s="41"/>
      <c r="CL136" s="42"/>
      <c r="CM136" s="42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</row>
    <row r="137" spans="1:123" hidden="1" outlineLevel="1">
      <c r="A137" s="41"/>
      <c r="B137" s="46"/>
      <c r="C137" s="41"/>
      <c r="D137" s="41"/>
      <c r="E137" s="13"/>
      <c r="F137" s="13"/>
      <c r="G137" s="41"/>
      <c r="H137" s="46"/>
      <c r="I137" s="46"/>
      <c r="J137" s="48"/>
      <c r="K137" s="48"/>
      <c r="L137" s="48"/>
      <c r="M137" s="48"/>
      <c r="N137" s="48"/>
      <c r="O137" s="48"/>
      <c r="P137" s="48"/>
      <c r="Q137" s="125"/>
      <c r="R137" s="52"/>
      <c r="S137" s="52"/>
      <c r="T137" s="48"/>
      <c r="U137" s="215" t="e">
        <f t="shared" si="39"/>
        <v>#DIV/0!</v>
      </c>
      <c r="V137" s="64"/>
      <c r="W137" s="64"/>
      <c r="X137" s="22"/>
      <c r="Y137" s="215" t="e">
        <f t="shared" si="40"/>
        <v>#DIV/0!</v>
      </c>
      <c r="Z137" s="170"/>
      <c r="AA137" s="170"/>
      <c r="AB137" s="51"/>
      <c r="AC137" s="51"/>
      <c r="AD137" s="51"/>
      <c r="AE137" s="51"/>
      <c r="AF137" s="52"/>
      <c r="AG137" s="53"/>
      <c r="AH137" s="53"/>
      <c r="AI137" s="53"/>
      <c r="AJ137" s="53"/>
      <c r="AK137" s="174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120"/>
      <c r="CB137" s="120"/>
      <c r="CK137" s="41"/>
      <c r="CL137" s="42"/>
      <c r="CM137" s="42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</row>
    <row r="138" spans="1:123" hidden="1" outlineLevel="1">
      <c r="A138" s="41"/>
      <c r="B138" s="46"/>
      <c r="C138" s="41"/>
      <c r="D138" s="41"/>
      <c r="E138" s="13"/>
      <c r="F138" s="13"/>
      <c r="G138" s="41"/>
      <c r="H138" s="46"/>
      <c r="I138" s="46"/>
      <c r="J138" s="48"/>
      <c r="K138" s="48"/>
      <c r="L138" s="48"/>
      <c r="M138" s="48"/>
      <c r="N138" s="48"/>
      <c r="O138" s="48"/>
      <c r="P138" s="48"/>
      <c r="Q138" s="125"/>
      <c r="R138" s="52"/>
      <c r="S138" s="52"/>
      <c r="T138" s="48"/>
      <c r="U138" s="215" t="e">
        <f t="shared" si="39"/>
        <v>#DIV/0!</v>
      </c>
      <c r="V138" s="64"/>
      <c r="W138" s="64"/>
      <c r="X138" s="22"/>
      <c r="Y138" s="215" t="e">
        <f t="shared" si="40"/>
        <v>#DIV/0!</v>
      </c>
      <c r="Z138" s="170"/>
      <c r="AA138" s="170"/>
      <c r="AB138" s="51"/>
      <c r="AC138" s="51"/>
      <c r="AD138" s="51"/>
      <c r="AE138" s="51"/>
      <c r="AF138" s="52"/>
      <c r="AG138" s="53"/>
      <c r="AH138" s="53"/>
      <c r="AI138" s="53"/>
      <c r="AJ138" s="53"/>
      <c r="AK138" s="174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120"/>
      <c r="CB138" s="120"/>
      <c r="CK138" s="41"/>
      <c r="CL138" s="42"/>
      <c r="CM138" s="42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</row>
    <row r="139" spans="1:123" hidden="1" outlineLevel="1">
      <c r="A139" s="41"/>
      <c r="B139" s="46"/>
      <c r="C139" s="41"/>
      <c r="D139" s="41"/>
      <c r="E139" s="13"/>
      <c r="F139" s="13"/>
      <c r="G139" s="41"/>
      <c r="H139" s="46"/>
      <c r="I139" s="46"/>
      <c r="J139" s="48"/>
      <c r="K139" s="48"/>
      <c r="L139" s="48"/>
      <c r="M139" s="48"/>
      <c r="N139" s="48"/>
      <c r="O139" s="48"/>
      <c r="P139" s="48"/>
      <c r="Q139" s="125"/>
      <c r="R139" s="52"/>
      <c r="S139" s="52"/>
      <c r="T139" s="48"/>
      <c r="U139" s="215" t="e">
        <f t="shared" si="39"/>
        <v>#DIV/0!</v>
      </c>
      <c r="V139" s="64"/>
      <c r="W139" s="64"/>
      <c r="X139" s="22"/>
      <c r="Y139" s="215" t="e">
        <f t="shared" si="40"/>
        <v>#DIV/0!</v>
      </c>
      <c r="Z139" s="170"/>
      <c r="AA139" s="170"/>
      <c r="AB139" s="51"/>
      <c r="AC139" s="51"/>
      <c r="AD139" s="51"/>
      <c r="AE139" s="51"/>
      <c r="AF139" s="52"/>
      <c r="AG139" s="53"/>
      <c r="AH139" s="53"/>
      <c r="AI139" s="53"/>
      <c r="AJ139" s="53"/>
      <c r="AK139" s="174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120"/>
      <c r="CB139" s="120"/>
      <c r="CK139" s="41"/>
      <c r="CL139" s="42"/>
      <c r="CM139" s="42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</row>
    <row r="140" spans="1:123" hidden="1" outlineLevel="1">
      <c r="A140" s="41"/>
      <c r="B140" s="46"/>
      <c r="C140" s="41"/>
      <c r="D140" s="41"/>
      <c r="E140" s="13"/>
      <c r="F140" s="13"/>
      <c r="G140" s="41"/>
      <c r="H140" s="46"/>
      <c r="I140" s="46"/>
      <c r="J140" s="48"/>
      <c r="K140" s="48"/>
      <c r="L140" s="48"/>
      <c r="M140" s="48"/>
      <c r="N140" s="48"/>
      <c r="O140" s="48"/>
      <c r="P140" s="48"/>
      <c r="Q140" s="125"/>
      <c r="R140" s="52"/>
      <c r="S140" s="52"/>
      <c r="T140" s="48"/>
      <c r="U140" s="215" t="e">
        <f t="shared" si="39"/>
        <v>#DIV/0!</v>
      </c>
      <c r="V140" s="64"/>
      <c r="W140" s="64"/>
      <c r="X140" s="22"/>
      <c r="Y140" s="215" t="e">
        <f t="shared" si="40"/>
        <v>#DIV/0!</v>
      </c>
      <c r="Z140" s="170"/>
      <c r="AA140" s="170"/>
      <c r="AB140" s="51"/>
      <c r="AC140" s="51"/>
      <c r="AD140" s="51"/>
      <c r="AE140" s="51"/>
      <c r="AF140" s="52"/>
      <c r="AG140" s="53"/>
      <c r="AH140" s="53"/>
      <c r="AI140" s="53"/>
      <c r="AJ140" s="53"/>
      <c r="AK140" s="174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120"/>
      <c r="CB140" s="120"/>
      <c r="CK140" s="41"/>
      <c r="CL140" s="42"/>
      <c r="CM140" s="42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</row>
    <row r="141" spans="1:123" hidden="1" outlineLevel="1">
      <c r="A141" s="41"/>
      <c r="B141" s="46"/>
      <c r="C141" s="41"/>
      <c r="D141" s="41"/>
      <c r="E141" s="13"/>
      <c r="F141" s="13"/>
      <c r="G141" s="41"/>
      <c r="H141" s="46"/>
      <c r="I141" s="46"/>
      <c r="J141" s="48"/>
      <c r="K141" s="48"/>
      <c r="L141" s="48"/>
      <c r="M141" s="48"/>
      <c r="N141" s="48"/>
      <c r="O141" s="48"/>
      <c r="P141" s="48"/>
      <c r="Q141" s="125"/>
      <c r="R141" s="52"/>
      <c r="S141" s="52"/>
      <c r="T141" s="48"/>
      <c r="U141" s="215" t="e">
        <f t="shared" si="39"/>
        <v>#DIV/0!</v>
      </c>
      <c r="V141" s="64"/>
      <c r="W141" s="64"/>
      <c r="X141" s="22"/>
      <c r="Y141" s="215" t="e">
        <f t="shared" si="40"/>
        <v>#DIV/0!</v>
      </c>
      <c r="Z141" s="170"/>
      <c r="AA141" s="170"/>
      <c r="AB141" s="51"/>
      <c r="AC141" s="51"/>
      <c r="AD141" s="51"/>
      <c r="AE141" s="51"/>
      <c r="AF141" s="52"/>
      <c r="AG141" s="53"/>
      <c r="AH141" s="53"/>
      <c r="AI141" s="53"/>
      <c r="AJ141" s="53"/>
      <c r="AK141" s="174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120"/>
      <c r="CB141" s="120"/>
      <c r="CK141" s="41"/>
      <c r="CL141" s="42"/>
      <c r="CM141" s="42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</row>
    <row r="142" spans="1:123" hidden="1" outlineLevel="1">
      <c r="A142" s="41"/>
      <c r="B142" s="46"/>
      <c r="C142" s="41"/>
      <c r="D142" s="41"/>
      <c r="E142" s="13"/>
      <c r="F142" s="13"/>
      <c r="G142" s="41"/>
      <c r="H142" s="46"/>
      <c r="I142" s="46"/>
      <c r="J142" s="48"/>
      <c r="K142" s="48"/>
      <c r="L142" s="48"/>
      <c r="M142" s="48"/>
      <c r="N142" s="48"/>
      <c r="O142" s="48"/>
      <c r="P142" s="48"/>
      <c r="Q142" s="125"/>
      <c r="R142" s="52"/>
      <c r="S142" s="52"/>
      <c r="T142" s="48"/>
      <c r="U142" s="215" t="e">
        <f t="shared" si="39"/>
        <v>#DIV/0!</v>
      </c>
      <c r="V142" s="64"/>
      <c r="W142" s="64"/>
      <c r="X142" s="22"/>
      <c r="Y142" s="215" t="e">
        <f t="shared" si="40"/>
        <v>#DIV/0!</v>
      </c>
      <c r="Z142" s="170"/>
      <c r="AA142" s="170"/>
      <c r="AB142" s="51"/>
      <c r="AC142" s="51"/>
      <c r="AD142" s="51"/>
      <c r="AE142" s="51"/>
      <c r="AF142" s="52"/>
      <c r="AG142" s="53"/>
      <c r="AH142" s="53"/>
      <c r="AI142" s="53"/>
      <c r="AJ142" s="53"/>
      <c r="AK142" s="174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120"/>
      <c r="CB142" s="120"/>
      <c r="CK142" s="41"/>
      <c r="CL142" s="42"/>
      <c r="CM142" s="42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</row>
    <row r="143" spans="1:123" hidden="1" outlineLevel="1">
      <c r="A143" s="41"/>
      <c r="B143" s="46"/>
      <c r="C143" s="41"/>
      <c r="D143" s="41"/>
      <c r="E143" s="13"/>
      <c r="F143" s="13"/>
      <c r="G143" s="41"/>
      <c r="H143" s="46"/>
      <c r="I143" s="46"/>
      <c r="J143" s="48"/>
      <c r="K143" s="48"/>
      <c r="L143" s="48"/>
      <c r="M143" s="48"/>
      <c r="N143" s="48"/>
      <c r="O143" s="48"/>
      <c r="P143" s="48"/>
      <c r="Q143" s="125"/>
      <c r="R143" s="52"/>
      <c r="S143" s="52"/>
      <c r="T143" s="48"/>
      <c r="U143" s="215" t="e">
        <f t="shared" si="39"/>
        <v>#DIV/0!</v>
      </c>
      <c r="V143" s="64"/>
      <c r="W143" s="64"/>
      <c r="X143" s="22"/>
      <c r="Y143" s="215" t="e">
        <f t="shared" si="40"/>
        <v>#DIV/0!</v>
      </c>
      <c r="Z143" s="170"/>
      <c r="AA143" s="170"/>
      <c r="AB143" s="51"/>
      <c r="AC143" s="51"/>
      <c r="AD143" s="51"/>
      <c r="AE143" s="51"/>
      <c r="AF143" s="52"/>
      <c r="AG143" s="53"/>
      <c r="AH143" s="53"/>
      <c r="AI143" s="53"/>
      <c r="AJ143" s="53"/>
      <c r="AK143" s="174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120"/>
      <c r="CB143" s="120"/>
      <c r="CK143" s="41"/>
      <c r="CL143" s="42"/>
      <c r="CM143" s="42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</row>
    <row r="144" spans="1:123" hidden="1" outlineLevel="1">
      <c r="A144" s="41"/>
      <c r="B144" s="46"/>
      <c r="C144" s="41"/>
      <c r="D144" s="41"/>
      <c r="E144" s="13"/>
      <c r="F144" s="13"/>
      <c r="G144" s="41"/>
      <c r="H144" s="46"/>
      <c r="I144" s="46"/>
      <c r="J144" s="48"/>
      <c r="K144" s="48"/>
      <c r="L144" s="48"/>
      <c r="M144" s="48"/>
      <c r="N144" s="48"/>
      <c r="O144" s="48"/>
      <c r="P144" s="48"/>
      <c r="Q144" s="125"/>
      <c r="R144" s="52"/>
      <c r="S144" s="52"/>
      <c r="T144" s="48"/>
      <c r="U144" s="215" t="e">
        <f t="shared" si="39"/>
        <v>#DIV/0!</v>
      </c>
      <c r="V144" s="64"/>
      <c r="W144" s="64"/>
      <c r="X144" s="22"/>
      <c r="Y144" s="215" t="e">
        <f t="shared" si="40"/>
        <v>#DIV/0!</v>
      </c>
      <c r="Z144" s="170"/>
      <c r="AA144" s="170"/>
      <c r="AB144" s="51"/>
      <c r="AC144" s="51"/>
      <c r="AD144" s="51"/>
      <c r="AE144" s="51"/>
      <c r="AF144" s="52"/>
      <c r="AG144" s="53"/>
      <c r="AH144" s="53"/>
      <c r="AI144" s="53"/>
      <c r="AJ144" s="53"/>
      <c r="AK144" s="174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120"/>
      <c r="CB144" s="120"/>
      <c r="CK144" s="41"/>
      <c r="CL144" s="42"/>
      <c r="CM144" s="42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</row>
    <row r="145" spans="1:123" hidden="1" outlineLevel="1">
      <c r="A145" s="41"/>
      <c r="B145" s="46"/>
      <c r="C145" s="41"/>
      <c r="D145" s="41"/>
      <c r="E145" s="13"/>
      <c r="F145" s="13"/>
      <c r="G145" s="41"/>
      <c r="H145" s="46"/>
      <c r="I145" s="46"/>
      <c r="J145" s="48"/>
      <c r="K145" s="48"/>
      <c r="L145" s="48"/>
      <c r="M145" s="48"/>
      <c r="N145" s="48"/>
      <c r="O145" s="48"/>
      <c r="P145" s="48"/>
      <c r="Q145" s="125"/>
      <c r="R145" s="52"/>
      <c r="S145" s="52"/>
      <c r="T145" s="48"/>
      <c r="U145" s="215" t="e">
        <f t="shared" si="39"/>
        <v>#DIV/0!</v>
      </c>
      <c r="V145" s="64"/>
      <c r="W145" s="64"/>
      <c r="X145" s="22"/>
      <c r="Y145" s="215" t="e">
        <f t="shared" si="40"/>
        <v>#DIV/0!</v>
      </c>
      <c r="Z145" s="170"/>
      <c r="AA145" s="170"/>
      <c r="AB145" s="51"/>
      <c r="AC145" s="51"/>
      <c r="AD145" s="51"/>
      <c r="AE145" s="51"/>
      <c r="AF145" s="52"/>
      <c r="AG145" s="53"/>
      <c r="AH145" s="53"/>
      <c r="AI145" s="53"/>
      <c r="AJ145" s="53"/>
      <c r="AK145" s="174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120"/>
      <c r="CB145" s="120"/>
      <c r="CK145" s="41"/>
      <c r="CL145" s="42"/>
      <c r="CM145" s="42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</row>
    <row r="146" spans="1:123" hidden="1" outlineLevel="1">
      <c r="A146" s="41"/>
      <c r="B146" s="46"/>
      <c r="C146" s="41"/>
      <c r="D146" s="41"/>
      <c r="E146" s="13"/>
      <c r="F146" s="13"/>
      <c r="G146" s="41"/>
      <c r="H146" s="46"/>
      <c r="I146" s="46"/>
      <c r="J146" s="48"/>
      <c r="K146" s="48"/>
      <c r="L146" s="48"/>
      <c r="M146" s="48"/>
      <c r="N146" s="48"/>
      <c r="O146" s="48"/>
      <c r="P146" s="48"/>
      <c r="Q146" s="125"/>
      <c r="R146" s="52"/>
      <c r="S146" s="52"/>
      <c r="T146" s="48"/>
      <c r="U146" s="215" t="e">
        <f t="shared" si="39"/>
        <v>#DIV/0!</v>
      </c>
      <c r="V146" s="64"/>
      <c r="W146" s="64"/>
      <c r="X146" s="22"/>
      <c r="Y146" s="215" t="e">
        <f t="shared" si="40"/>
        <v>#DIV/0!</v>
      </c>
      <c r="Z146" s="170"/>
      <c r="AA146" s="170"/>
      <c r="AB146" s="51"/>
      <c r="AC146" s="51"/>
      <c r="AD146" s="51"/>
      <c r="AE146" s="51"/>
      <c r="AF146" s="52"/>
      <c r="AG146" s="53"/>
      <c r="AH146" s="53"/>
      <c r="AI146" s="53"/>
      <c r="AJ146" s="53"/>
      <c r="AK146" s="174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120"/>
      <c r="CB146" s="120"/>
      <c r="CK146" s="41"/>
      <c r="CL146" s="42"/>
      <c r="CM146" s="42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</row>
    <row r="147" spans="1:123" hidden="1" outlineLevel="1">
      <c r="A147" s="41"/>
      <c r="B147" s="46"/>
      <c r="C147" s="41"/>
      <c r="D147" s="41"/>
      <c r="E147" s="13"/>
      <c r="F147" s="13"/>
      <c r="G147" s="41"/>
      <c r="H147" s="46"/>
      <c r="I147" s="46"/>
      <c r="J147" s="48"/>
      <c r="K147" s="48"/>
      <c r="L147" s="48"/>
      <c r="M147" s="48"/>
      <c r="N147" s="48"/>
      <c r="O147" s="48"/>
      <c r="P147" s="48"/>
      <c r="Q147" s="125"/>
      <c r="R147" s="52"/>
      <c r="S147" s="52"/>
      <c r="T147" s="48"/>
      <c r="U147" s="215" t="e">
        <f t="shared" si="39"/>
        <v>#DIV/0!</v>
      </c>
      <c r="V147" s="64"/>
      <c r="W147" s="64"/>
      <c r="X147" s="22"/>
      <c r="Y147" s="215" t="e">
        <f t="shared" si="40"/>
        <v>#DIV/0!</v>
      </c>
      <c r="Z147" s="170"/>
      <c r="AA147" s="170"/>
      <c r="AB147" s="51"/>
      <c r="AC147" s="51"/>
      <c r="AD147" s="51"/>
      <c r="AE147" s="51"/>
      <c r="AF147" s="52"/>
      <c r="AG147" s="53"/>
      <c r="AH147" s="53"/>
      <c r="AI147" s="53"/>
      <c r="AJ147" s="53"/>
      <c r="AK147" s="174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120"/>
      <c r="CB147" s="120"/>
      <c r="CK147" s="41"/>
      <c r="CL147" s="42"/>
      <c r="CM147" s="42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</row>
    <row r="148" spans="1:123" hidden="1" outlineLevel="1">
      <c r="A148" s="41"/>
      <c r="B148" s="46"/>
      <c r="C148" s="41"/>
      <c r="D148" s="41"/>
      <c r="E148" s="13"/>
      <c r="F148" s="13"/>
      <c r="G148" s="41"/>
      <c r="H148" s="46"/>
      <c r="I148" s="46"/>
      <c r="J148" s="48"/>
      <c r="K148" s="48"/>
      <c r="L148" s="48"/>
      <c r="M148" s="48"/>
      <c r="N148" s="48"/>
      <c r="O148" s="48"/>
      <c r="P148" s="48"/>
      <c r="Q148" s="125"/>
      <c r="R148" s="52"/>
      <c r="S148" s="52"/>
      <c r="T148" s="48"/>
      <c r="U148" s="215" t="e">
        <f t="shared" si="39"/>
        <v>#DIV/0!</v>
      </c>
      <c r="V148" s="64"/>
      <c r="W148" s="64"/>
      <c r="X148" s="22"/>
      <c r="Y148" s="215" t="e">
        <f t="shared" si="40"/>
        <v>#DIV/0!</v>
      </c>
      <c r="Z148" s="170"/>
      <c r="AA148" s="170"/>
      <c r="AB148" s="51"/>
      <c r="AC148" s="51"/>
      <c r="AD148" s="51"/>
      <c r="AE148" s="51"/>
      <c r="AF148" s="52"/>
      <c r="AG148" s="53"/>
      <c r="AH148" s="53"/>
      <c r="AI148" s="53"/>
      <c r="AJ148" s="53"/>
      <c r="AK148" s="174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120"/>
      <c r="CB148" s="120"/>
      <c r="CK148" s="41"/>
      <c r="CL148" s="42"/>
      <c r="CM148" s="42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</row>
    <row r="149" spans="1:123" hidden="1" outlineLevel="1">
      <c r="A149" s="41"/>
      <c r="B149" s="46"/>
      <c r="C149" s="41"/>
      <c r="D149" s="41"/>
      <c r="E149" s="13"/>
      <c r="F149" s="13"/>
      <c r="G149" s="41"/>
      <c r="H149" s="46"/>
      <c r="I149" s="46"/>
      <c r="J149" s="48"/>
      <c r="K149" s="48"/>
      <c r="L149" s="48"/>
      <c r="M149" s="48"/>
      <c r="N149" s="48"/>
      <c r="O149" s="48"/>
      <c r="P149" s="48"/>
      <c r="Q149" s="125"/>
      <c r="R149" s="52"/>
      <c r="S149" s="52"/>
      <c r="T149" s="48"/>
      <c r="U149" s="215" t="e">
        <f t="shared" si="39"/>
        <v>#DIV/0!</v>
      </c>
      <c r="V149" s="64"/>
      <c r="W149" s="64"/>
      <c r="X149" s="22"/>
      <c r="Y149" s="215" t="e">
        <f t="shared" si="40"/>
        <v>#DIV/0!</v>
      </c>
      <c r="Z149" s="170"/>
      <c r="AA149" s="170"/>
      <c r="AB149" s="51"/>
      <c r="AC149" s="51"/>
      <c r="AD149" s="51"/>
      <c r="AE149" s="51"/>
      <c r="AF149" s="52"/>
      <c r="AG149" s="53"/>
      <c r="AH149" s="53"/>
      <c r="AI149" s="53"/>
      <c r="AJ149" s="53"/>
      <c r="AK149" s="174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120"/>
      <c r="CB149" s="120"/>
      <c r="CK149" s="41"/>
      <c r="CL149" s="42"/>
      <c r="CM149" s="42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</row>
    <row r="150" spans="1:123" hidden="1" outlineLevel="1">
      <c r="A150" s="41"/>
      <c r="B150" s="46"/>
      <c r="C150" s="41"/>
      <c r="D150" s="41"/>
      <c r="E150" s="13"/>
      <c r="F150" s="13"/>
      <c r="G150" s="41"/>
      <c r="H150" s="46"/>
      <c r="I150" s="46"/>
      <c r="J150" s="48"/>
      <c r="K150" s="48"/>
      <c r="L150" s="48"/>
      <c r="M150" s="48"/>
      <c r="N150" s="48"/>
      <c r="O150" s="48"/>
      <c r="P150" s="48"/>
      <c r="Q150" s="125"/>
      <c r="R150" s="52"/>
      <c r="S150" s="52"/>
      <c r="T150" s="48"/>
      <c r="U150" s="215" t="e">
        <f t="shared" si="39"/>
        <v>#DIV/0!</v>
      </c>
      <c r="V150" s="64"/>
      <c r="W150" s="64"/>
      <c r="X150" s="22"/>
      <c r="Y150" s="215" t="e">
        <f t="shared" si="40"/>
        <v>#DIV/0!</v>
      </c>
      <c r="Z150" s="170"/>
      <c r="AA150" s="170"/>
      <c r="AB150" s="51"/>
      <c r="AC150" s="51"/>
      <c r="AD150" s="51"/>
      <c r="AE150" s="51"/>
      <c r="AF150" s="52"/>
      <c r="AG150" s="53"/>
      <c r="AH150" s="53"/>
      <c r="AI150" s="53"/>
      <c r="AJ150" s="53"/>
      <c r="AK150" s="174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120"/>
      <c r="CB150" s="120"/>
      <c r="CK150" s="41"/>
      <c r="CL150" s="42"/>
      <c r="CM150" s="42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</row>
    <row r="151" spans="1:123" hidden="1" outlineLevel="1">
      <c r="A151" s="41"/>
      <c r="B151" s="46"/>
      <c r="C151" s="41"/>
      <c r="D151" s="41"/>
      <c r="E151" s="13"/>
      <c r="F151" s="13"/>
      <c r="G151" s="41"/>
      <c r="H151" s="46"/>
      <c r="I151" s="46"/>
      <c r="J151" s="48"/>
      <c r="K151" s="48"/>
      <c r="L151" s="48"/>
      <c r="M151" s="48"/>
      <c r="N151" s="48"/>
      <c r="O151" s="48"/>
      <c r="P151" s="48"/>
      <c r="Q151" s="125"/>
      <c r="R151" s="52"/>
      <c r="S151" s="52"/>
      <c r="T151" s="48"/>
      <c r="U151" s="215" t="e">
        <f t="shared" si="39"/>
        <v>#DIV/0!</v>
      </c>
      <c r="V151" s="64"/>
      <c r="W151" s="64"/>
      <c r="X151" s="22"/>
      <c r="Y151" s="215" t="e">
        <f t="shared" si="40"/>
        <v>#DIV/0!</v>
      </c>
      <c r="Z151" s="170"/>
      <c r="AA151" s="170"/>
      <c r="AB151" s="51"/>
      <c r="AC151" s="51"/>
      <c r="AD151" s="51"/>
      <c r="AE151" s="51"/>
      <c r="AF151" s="52"/>
      <c r="AG151" s="53"/>
      <c r="AH151" s="53"/>
      <c r="AI151" s="53"/>
      <c r="AJ151" s="53"/>
      <c r="AK151" s="174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120"/>
      <c r="CB151" s="120"/>
      <c r="CK151" s="41"/>
      <c r="CL151" s="42"/>
      <c r="CM151" s="42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</row>
    <row r="152" spans="1:123" hidden="1" outlineLevel="1">
      <c r="A152" s="41"/>
      <c r="B152" s="46"/>
      <c r="C152" s="41"/>
      <c r="D152" s="41"/>
      <c r="E152" s="13"/>
      <c r="F152" s="13"/>
      <c r="G152" s="41"/>
      <c r="H152" s="46"/>
      <c r="I152" s="46"/>
      <c r="J152" s="48"/>
      <c r="K152" s="48"/>
      <c r="L152" s="48"/>
      <c r="M152" s="48"/>
      <c r="N152" s="48"/>
      <c r="O152" s="48"/>
      <c r="P152" s="48"/>
      <c r="Q152" s="125"/>
      <c r="R152" s="52"/>
      <c r="S152" s="52"/>
      <c r="T152" s="48"/>
      <c r="U152" s="215" t="e">
        <f t="shared" si="39"/>
        <v>#DIV/0!</v>
      </c>
      <c r="V152" s="64"/>
      <c r="W152" s="64"/>
      <c r="X152" s="22"/>
      <c r="Y152" s="215" t="e">
        <f t="shared" si="40"/>
        <v>#DIV/0!</v>
      </c>
      <c r="Z152" s="170"/>
      <c r="AA152" s="170"/>
      <c r="AB152" s="51"/>
      <c r="AC152" s="51"/>
      <c r="AD152" s="51"/>
      <c r="AE152" s="51"/>
      <c r="AF152" s="52"/>
      <c r="AG152" s="53"/>
      <c r="AH152" s="53"/>
      <c r="AI152" s="53"/>
      <c r="AJ152" s="53"/>
      <c r="AK152" s="174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120"/>
      <c r="CB152" s="120"/>
      <c r="CK152" s="41"/>
      <c r="CL152" s="42"/>
      <c r="CM152" s="42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</row>
    <row r="153" spans="1:123" hidden="1" outlineLevel="1">
      <c r="A153" s="41"/>
      <c r="B153" s="46"/>
      <c r="C153" s="41"/>
      <c r="D153" s="41"/>
      <c r="E153" s="13"/>
      <c r="F153" s="13"/>
      <c r="G153" s="41"/>
      <c r="H153" s="46"/>
      <c r="I153" s="46"/>
      <c r="J153" s="48"/>
      <c r="K153" s="48"/>
      <c r="L153" s="48"/>
      <c r="M153" s="48"/>
      <c r="N153" s="48"/>
      <c r="O153" s="48"/>
      <c r="P153" s="48"/>
      <c r="Q153" s="125"/>
      <c r="R153" s="52"/>
      <c r="S153" s="52"/>
      <c r="T153" s="48"/>
      <c r="U153" s="215" t="e">
        <f t="shared" si="39"/>
        <v>#DIV/0!</v>
      </c>
      <c r="V153" s="64"/>
      <c r="W153" s="64"/>
      <c r="X153" s="22"/>
      <c r="Y153" s="215" t="e">
        <f t="shared" si="40"/>
        <v>#DIV/0!</v>
      </c>
      <c r="Z153" s="170"/>
      <c r="AA153" s="170"/>
      <c r="AB153" s="51"/>
      <c r="AC153" s="51"/>
      <c r="AD153" s="51"/>
      <c r="AE153" s="51"/>
      <c r="AF153" s="52"/>
      <c r="AG153" s="53"/>
      <c r="AH153" s="53"/>
      <c r="AI153" s="53"/>
      <c r="AJ153" s="53"/>
      <c r="AK153" s="174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120"/>
      <c r="CB153" s="120"/>
      <c r="CK153" s="41"/>
      <c r="CL153" s="42"/>
      <c r="CM153" s="42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</row>
    <row r="154" spans="1:123" hidden="1" outlineLevel="1">
      <c r="A154" s="41"/>
      <c r="B154" s="46"/>
      <c r="C154" s="41"/>
      <c r="D154" s="41"/>
      <c r="E154" s="13"/>
      <c r="F154" s="13"/>
      <c r="G154" s="41"/>
      <c r="H154" s="46"/>
      <c r="I154" s="46"/>
      <c r="J154" s="48"/>
      <c r="K154" s="48"/>
      <c r="L154" s="48"/>
      <c r="M154" s="48"/>
      <c r="N154" s="48"/>
      <c r="O154" s="48"/>
      <c r="P154" s="48"/>
      <c r="Q154" s="125"/>
      <c r="R154" s="52"/>
      <c r="S154" s="52"/>
      <c r="T154" s="48"/>
      <c r="U154" s="215" t="e">
        <f t="shared" si="39"/>
        <v>#DIV/0!</v>
      </c>
      <c r="V154" s="64"/>
      <c r="W154" s="64"/>
      <c r="X154" s="22"/>
      <c r="Y154" s="215" t="e">
        <f t="shared" si="40"/>
        <v>#DIV/0!</v>
      </c>
      <c r="Z154" s="170"/>
      <c r="AA154" s="170"/>
      <c r="AB154" s="51"/>
      <c r="AC154" s="51"/>
      <c r="AD154" s="51"/>
      <c r="AE154" s="51"/>
      <c r="AF154" s="52"/>
      <c r="AG154" s="53"/>
      <c r="AH154" s="53"/>
      <c r="AI154" s="53"/>
      <c r="AJ154" s="53"/>
      <c r="AK154" s="174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120"/>
      <c r="CB154" s="120"/>
      <c r="CK154" s="41"/>
      <c r="CL154" s="42"/>
      <c r="CM154" s="42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</row>
    <row r="155" spans="1:123" hidden="1" outlineLevel="1">
      <c r="A155" s="41"/>
      <c r="B155" s="46"/>
      <c r="C155" s="41"/>
      <c r="D155" s="41"/>
      <c r="E155" s="13"/>
      <c r="F155" s="13"/>
      <c r="G155" s="41"/>
      <c r="H155" s="46"/>
      <c r="I155" s="46"/>
      <c r="J155" s="48"/>
      <c r="K155" s="48"/>
      <c r="L155" s="48"/>
      <c r="M155" s="48"/>
      <c r="N155" s="48"/>
      <c r="O155" s="48"/>
      <c r="P155" s="48"/>
      <c r="Q155" s="125"/>
      <c r="R155" s="52"/>
      <c r="S155" s="52"/>
      <c r="T155" s="48"/>
      <c r="U155" s="215" t="e">
        <f t="shared" si="39"/>
        <v>#DIV/0!</v>
      </c>
      <c r="V155" s="64"/>
      <c r="W155" s="64"/>
      <c r="X155" s="22"/>
      <c r="Y155" s="215" t="e">
        <f t="shared" si="40"/>
        <v>#DIV/0!</v>
      </c>
      <c r="Z155" s="170"/>
      <c r="AA155" s="170"/>
      <c r="AB155" s="51"/>
      <c r="AC155" s="51"/>
      <c r="AD155" s="51"/>
      <c r="AE155" s="51"/>
      <c r="AF155" s="52"/>
      <c r="AG155" s="53"/>
      <c r="AH155" s="53"/>
      <c r="AI155" s="53"/>
      <c r="AJ155" s="53"/>
      <c r="AK155" s="174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120"/>
      <c r="CB155" s="120"/>
      <c r="CK155" s="41"/>
      <c r="CL155" s="42"/>
      <c r="CM155" s="42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</row>
    <row r="156" spans="1:123" hidden="1" outlineLevel="1">
      <c r="A156" s="41"/>
      <c r="B156" s="46"/>
      <c r="C156" s="41"/>
      <c r="D156" s="41"/>
      <c r="E156" s="13"/>
      <c r="F156" s="13"/>
      <c r="G156" s="41"/>
      <c r="H156" s="46"/>
      <c r="I156" s="46"/>
      <c r="J156" s="48"/>
      <c r="K156" s="48"/>
      <c r="L156" s="48"/>
      <c r="M156" s="48"/>
      <c r="N156" s="48"/>
      <c r="O156" s="48"/>
      <c r="P156" s="48"/>
      <c r="Q156" s="125"/>
      <c r="R156" s="52"/>
      <c r="S156" s="52"/>
      <c r="T156" s="48"/>
      <c r="U156" s="215" t="e">
        <f t="shared" si="39"/>
        <v>#DIV/0!</v>
      </c>
      <c r="V156" s="64"/>
      <c r="W156" s="64"/>
      <c r="X156" s="22"/>
      <c r="Y156" s="215" t="e">
        <f t="shared" si="40"/>
        <v>#DIV/0!</v>
      </c>
      <c r="Z156" s="170"/>
      <c r="AA156" s="170"/>
      <c r="AB156" s="51"/>
      <c r="AC156" s="51"/>
      <c r="AD156" s="51"/>
      <c r="AE156" s="51"/>
      <c r="AF156" s="52"/>
      <c r="AG156" s="53"/>
      <c r="AH156" s="53"/>
      <c r="AI156" s="53"/>
      <c r="AJ156" s="53"/>
      <c r="AK156" s="174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120"/>
      <c r="CB156" s="120"/>
      <c r="CK156" s="41"/>
      <c r="CL156" s="42"/>
      <c r="CM156" s="42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</row>
    <row r="157" spans="1:123" hidden="1" outlineLevel="1">
      <c r="A157" s="41"/>
      <c r="B157" s="46"/>
      <c r="C157" s="41"/>
      <c r="D157" s="41"/>
      <c r="E157" s="13"/>
      <c r="F157" s="13"/>
      <c r="G157" s="41"/>
      <c r="H157" s="46"/>
      <c r="I157" s="46"/>
      <c r="J157" s="48"/>
      <c r="K157" s="48"/>
      <c r="L157" s="48"/>
      <c r="M157" s="48"/>
      <c r="N157" s="48"/>
      <c r="O157" s="48"/>
      <c r="P157" s="48"/>
      <c r="Q157" s="125"/>
      <c r="R157" s="52"/>
      <c r="S157" s="52"/>
      <c r="T157" s="48"/>
      <c r="U157" s="215" t="e">
        <f t="shared" si="39"/>
        <v>#DIV/0!</v>
      </c>
      <c r="V157" s="64"/>
      <c r="W157" s="64"/>
      <c r="X157" s="22"/>
      <c r="Y157" s="215" t="e">
        <f t="shared" si="40"/>
        <v>#DIV/0!</v>
      </c>
      <c r="Z157" s="170"/>
      <c r="AA157" s="170"/>
      <c r="AB157" s="51"/>
      <c r="AC157" s="51"/>
      <c r="AD157" s="51"/>
      <c r="AE157" s="51"/>
      <c r="AF157" s="52"/>
      <c r="AG157" s="53"/>
      <c r="AH157" s="53"/>
      <c r="AI157" s="53"/>
      <c r="AJ157" s="53"/>
      <c r="AK157" s="174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120"/>
      <c r="CB157" s="120"/>
      <c r="CK157" s="41"/>
      <c r="CL157" s="42"/>
      <c r="CM157" s="42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</row>
    <row r="158" spans="1:123" hidden="1" outlineLevel="1">
      <c r="A158" s="41"/>
      <c r="B158" s="46"/>
      <c r="C158" s="41"/>
      <c r="D158" s="41"/>
      <c r="E158" s="13"/>
      <c r="F158" s="13"/>
      <c r="G158" s="41"/>
      <c r="H158" s="46"/>
      <c r="I158" s="46"/>
      <c r="J158" s="48"/>
      <c r="K158" s="48"/>
      <c r="L158" s="48"/>
      <c r="M158" s="48"/>
      <c r="N158" s="48"/>
      <c r="O158" s="48"/>
      <c r="P158" s="48"/>
      <c r="Q158" s="125"/>
      <c r="R158" s="52"/>
      <c r="S158" s="52"/>
      <c r="T158" s="48"/>
      <c r="U158" s="215" t="e">
        <f t="shared" si="39"/>
        <v>#DIV/0!</v>
      </c>
      <c r="V158" s="64"/>
      <c r="W158" s="64"/>
      <c r="X158" s="22"/>
      <c r="Y158" s="215" t="e">
        <f t="shared" si="40"/>
        <v>#DIV/0!</v>
      </c>
      <c r="Z158" s="170"/>
      <c r="AA158" s="170"/>
      <c r="AB158" s="51"/>
      <c r="AC158" s="51"/>
      <c r="AD158" s="51"/>
      <c r="AE158" s="51"/>
      <c r="AF158" s="52"/>
      <c r="AG158" s="53"/>
      <c r="AH158" s="53"/>
      <c r="AI158" s="53"/>
      <c r="AJ158" s="53"/>
      <c r="AK158" s="174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120"/>
      <c r="CB158" s="120"/>
      <c r="CK158" s="41"/>
      <c r="CL158" s="42"/>
      <c r="CM158" s="42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</row>
    <row r="159" spans="1:123" hidden="1" outlineLevel="1">
      <c r="A159" s="41"/>
      <c r="B159" s="46"/>
      <c r="C159" s="41"/>
      <c r="D159" s="41"/>
      <c r="E159" s="13"/>
      <c r="F159" s="13"/>
      <c r="G159" s="41"/>
      <c r="H159" s="46"/>
      <c r="I159" s="46"/>
      <c r="J159" s="48"/>
      <c r="K159" s="48"/>
      <c r="L159" s="48"/>
      <c r="M159" s="48"/>
      <c r="N159" s="48"/>
      <c r="O159" s="48"/>
      <c r="P159" s="48"/>
      <c r="Q159" s="125"/>
      <c r="R159" s="52"/>
      <c r="S159" s="52"/>
      <c r="T159" s="48"/>
      <c r="U159" s="215" t="e">
        <f t="shared" si="39"/>
        <v>#DIV/0!</v>
      </c>
      <c r="V159" s="64"/>
      <c r="W159" s="64"/>
      <c r="X159" s="22"/>
      <c r="Y159" s="215" t="e">
        <f t="shared" si="40"/>
        <v>#DIV/0!</v>
      </c>
      <c r="Z159" s="170"/>
      <c r="AA159" s="170"/>
      <c r="AB159" s="51"/>
      <c r="AC159" s="51"/>
      <c r="AD159" s="51"/>
      <c r="AE159" s="51"/>
      <c r="AF159" s="52"/>
      <c r="AG159" s="53"/>
      <c r="AH159" s="53"/>
      <c r="AI159" s="53"/>
      <c r="AJ159" s="53"/>
      <c r="AK159" s="174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120"/>
      <c r="CB159" s="120"/>
      <c r="CK159" s="41"/>
      <c r="CL159" s="42"/>
      <c r="CM159" s="42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</row>
    <row r="160" spans="1:123" hidden="1" outlineLevel="1">
      <c r="A160" s="41"/>
      <c r="B160" s="46"/>
      <c r="C160" s="41"/>
      <c r="D160" s="41"/>
      <c r="E160" s="13"/>
      <c r="F160" s="13"/>
      <c r="G160" s="41"/>
      <c r="H160" s="46"/>
      <c r="I160" s="46"/>
      <c r="J160" s="48"/>
      <c r="K160" s="48"/>
      <c r="L160" s="48"/>
      <c r="M160" s="48"/>
      <c r="N160" s="48"/>
      <c r="O160" s="48"/>
      <c r="P160" s="48"/>
      <c r="Q160" s="125"/>
      <c r="R160" s="52"/>
      <c r="S160" s="52"/>
      <c r="T160" s="48"/>
      <c r="U160" s="215" t="e">
        <f t="shared" si="39"/>
        <v>#DIV/0!</v>
      </c>
      <c r="V160" s="64"/>
      <c r="W160" s="64"/>
      <c r="X160" s="22"/>
      <c r="Y160" s="215" t="e">
        <f t="shared" si="40"/>
        <v>#DIV/0!</v>
      </c>
      <c r="Z160" s="170"/>
      <c r="AA160" s="170"/>
      <c r="AB160" s="51"/>
      <c r="AC160" s="51"/>
      <c r="AD160" s="51"/>
      <c r="AE160" s="51"/>
      <c r="AF160" s="52"/>
      <c r="AG160" s="53"/>
      <c r="AH160" s="53"/>
      <c r="AI160" s="53"/>
      <c r="AJ160" s="53"/>
      <c r="AK160" s="174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120"/>
      <c r="CB160" s="120"/>
      <c r="CK160" s="41"/>
      <c r="CL160" s="42"/>
      <c r="CM160" s="42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</row>
    <row r="161" spans="1:123" hidden="1" outlineLevel="1">
      <c r="A161" s="41"/>
      <c r="B161" s="46"/>
      <c r="C161" s="41"/>
      <c r="D161" s="41"/>
      <c r="E161" s="13"/>
      <c r="F161" s="13"/>
      <c r="G161" s="41"/>
      <c r="H161" s="46"/>
      <c r="I161" s="46"/>
      <c r="J161" s="48"/>
      <c r="K161" s="48"/>
      <c r="L161" s="48"/>
      <c r="M161" s="48"/>
      <c r="N161" s="48"/>
      <c r="O161" s="48"/>
      <c r="P161" s="48"/>
      <c r="Q161" s="125"/>
      <c r="R161" s="52"/>
      <c r="S161" s="52"/>
      <c r="T161" s="48"/>
      <c r="U161" s="215" t="e">
        <f t="shared" si="39"/>
        <v>#DIV/0!</v>
      </c>
      <c r="V161" s="64"/>
      <c r="W161" s="64"/>
      <c r="X161" s="22"/>
      <c r="Y161" s="215" t="e">
        <f t="shared" si="40"/>
        <v>#DIV/0!</v>
      </c>
      <c r="Z161" s="170"/>
      <c r="AA161" s="170"/>
      <c r="AB161" s="51"/>
      <c r="AC161" s="51"/>
      <c r="AD161" s="51"/>
      <c r="AE161" s="51"/>
      <c r="AF161" s="52"/>
      <c r="AG161" s="53"/>
      <c r="AH161" s="53"/>
      <c r="AI161" s="53"/>
      <c r="AJ161" s="53"/>
      <c r="AK161" s="174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120"/>
      <c r="CB161" s="120"/>
      <c r="CK161" s="41"/>
      <c r="CL161" s="42"/>
      <c r="CM161" s="42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</row>
    <row r="162" spans="1:123" hidden="1" outlineLevel="1">
      <c r="A162" s="41"/>
      <c r="B162" s="46"/>
      <c r="C162" s="41"/>
      <c r="D162" s="41"/>
      <c r="E162" s="13"/>
      <c r="F162" s="13"/>
      <c r="G162" s="41"/>
      <c r="H162" s="46"/>
      <c r="I162" s="46"/>
      <c r="J162" s="48"/>
      <c r="K162" s="48"/>
      <c r="L162" s="48"/>
      <c r="M162" s="48"/>
      <c r="N162" s="48"/>
      <c r="O162" s="48"/>
      <c r="P162" s="48"/>
      <c r="Q162" s="125"/>
      <c r="R162" s="52"/>
      <c r="S162" s="52"/>
      <c r="T162" s="48"/>
      <c r="U162" s="215" t="e">
        <f t="shared" si="39"/>
        <v>#DIV/0!</v>
      </c>
      <c r="V162" s="64"/>
      <c r="W162" s="64"/>
      <c r="X162" s="22"/>
      <c r="Y162" s="215" t="e">
        <f t="shared" si="40"/>
        <v>#DIV/0!</v>
      </c>
      <c r="Z162" s="170"/>
      <c r="AA162" s="170"/>
      <c r="AB162" s="51"/>
      <c r="AC162" s="51"/>
      <c r="AD162" s="51"/>
      <c r="AE162" s="51"/>
      <c r="AF162" s="52"/>
      <c r="AG162" s="53"/>
      <c r="AH162" s="53"/>
      <c r="AI162" s="53"/>
      <c r="AJ162" s="53"/>
      <c r="AK162" s="174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120"/>
      <c r="CB162" s="120"/>
      <c r="CK162" s="41"/>
      <c r="CL162" s="42"/>
      <c r="CM162" s="42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</row>
    <row r="163" spans="1:123" hidden="1" outlineLevel="1">
      <c r="A163" s="41"/>
      <c r="B163" s="46"/>
      <c r="C163" s="41"/>
      <c r="D163" s="41"/>
      <c r="E163" s="13"/>
      <c r="F163" s="13"/>
      <c r="G163" s="41"/>
      <c r="H163" s="46"/>
      <c r="I163" s="46"/>
      <c r="J163" s="48"/>
      <c r="K163" s="48"/>
      <c r="L163" s="48"/>
      <c r="M163" s="48"/>
      <c r="N163" s="48"/>
      <c r="O163" s="48"/>
      <c r="P163" s="48"/>
      <c r="Q163" s="125"/>
      <c r="R163" s="52"/>
      <c r="S163" s="52"/>
      <c r="T163" s="48"/>
      <c r="U163" s="215" t="e">
        <f t="shared" si="39"/>
        <v>#DIV/0!</v>
      </c>
      <c r="V163" s="64"/>
      <c r="W163" s="64"/>
      <c r="X163" s="22"/>
      <c r="Y163" s="215" t="e">
        <f t="shared" si="40"/>
        <v>#DIV/0!</v>
      </c>
      <c r="Z163" s="170"/>
      <c r="AA163" s="170"/>
      <c r="AB163" s="51"/>
      <c r="AC163" s="51"/>
      <c r="AD163" s="51"/>
      <c r="AE163" s="51"/>
      <c r="AF163" s="52"/>
      <c r="AG163" s="53"/>
      <c r="AH163" s="53"/>
      <c r="AI163" s="53"/>
      <c r="AJ163" s="53"/>
      <c r="AK163" s="174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120"/>
      <c r="CB163" s="120"/>
      <c r="CK163" s="41"/>
      <c r="CL163" s="42"/>
      <c r="CM163" s="42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</row>
    <row r="164" spans="1:123" hidden="1" outlineLevel="1">
      <c r="A164" s="41"/>
      <c r="B164" s="46"/>
      <c r="C164" s="41"/>
      <c r="D164" s="41"/>
      <c r="E164" s="13"/>
      <c r="F164" s="13"/>
      <c r="G164" s="41"/>
      <c r="H164" s="46"/>
      <c r="I164" s="46"/>
      <c r="J164" s="48"/>
      <c r="K164" s="48"/>
      <c r="L164" s="48"/>
      <c r="M164" s="48"/>
      <c r="N164" s="48"/>
      <c r="O164" s="48"/>
      <c r="P164" s="48"/>
      <c r="Q164" s="125"/>
      <c r="R164" s="52"/>
      <c r="S164" s="52"/>
      <c r="T164" s="48"/>
      <c r="U164" s="215" t="e">
        <f t="shared" si="39"/>
        <v>#DIV/0!</v>
      </c>
      <c r="V164" s="64"/>
      <c r="W164" s="64"/>
      <c r="X164" s="22"/>
      <c r="Y164" s="215" t="e">
        <f t="shared" si="40"/>
        <v>#DIV/0!</v>
      </c>
      <c r="Z164" s="170"/>
      <c r="AA164" s="170"/>
      <c r="AB164" s="51"/>
      <c r="AC164" s="51"/>
      <c r="AD164" s="51"/>
      <c r="AE164" s="51"/>
      <c r="AF164" s="52"/>
      <c r="AG164" s="53"/>
      <c r="AH164" s="53"/>
      <c r="AI164" s="53"/>
      <c r="AJ164" s="53"/>
      <c r="AK164" s="174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120"/>
      <c r="CB164" s="120"/>
      <c r="CK164" s="41"/>
      <c r="CL164" s="42"/>
      <c r="CM164" s="42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</row>
    <row r="165" spans="1:123" hidden="1" outlineLevel="1">
      <c r="A165" s="41"/>
      <c r="B165" s="46"/>
      <c r="C165" s="41"/>
      <c r="D165" s="41"/>
      <c r="E165" s="13"/>
      <c r="F165" s="13"/>
      <c r="G165" s="41"/>
      <c r="H165" s="46"/>
      <c r="I165" s="46"/>
      <c r="J165" s="48"/>
      <c r="K165" s="48"/>
      <c r="L165" s="48"/>
      <c r="M165" s="48"/>
      <c r="N165" s="48"/>
      <c r="O165" s="48"/>
      <c r="P165" s="48"/>
      <c r="Q165" s="125"/>
      <c r="R165" s="52"/>
      <c r="S165" s="52"/>
      <c r="T165" s="48"/>
      <c r="U165" s="215" t="e">
        <f t="shared" si="39"/>
        <v>#DIV/0!</v>
      </c>
      <c r="V165" s="64"/>
      <c r="W165" s="64"/>
      <c r="X165" s="22"/>
      <c r="Y165" s="215" t="e">
        <f t="shared" si="40"/>
        <v>#DIV/0!</v>
      </c>
      <c r="Z165" s="170"/>
      <c r="AA165" s="170"/>
      <c r="AB165" s="51"/>
      <c r="AC165" s="51"/>
      <c r="AD165" s="51"/>
      <c r="AE165" s="51"/>
      <c r="AF165" s="52"/>
      <c r="AG165" s="53"/>
      <c r="AH165" s="53"/>
      <c r="AI165" s="53"/>
      <c r="AJ165" s="53"/>
      <c r="AK165" s="174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120"/>
      <c r="CB165" s="120"/>
      <c r="CK165" s="41"/>
      <c r="CL165" s="42"/>
      <c r="CM165" s="42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</row>
    <row r="166" spans="1:123" hidden="1" outlineLevel="1">
      <c r="A166" s="41"/>
      <c r="B166" s="46"/>
      <c r="C166" s="41"/>
      <c r="D166" s="41"/>
      <c r="E166" s="13"/>
      <c r="F166" s="13"/>
      <c r="G166" s="41"/>
      <c r="H166" s="46"/>
      <c r="I166" s="46"/>
      <c r="J166" s="48"/>
      <c r="K166" s="48"/>
      <c r="L166" s="48"/>
      <c r="M166" s="48"/>
      <c r="N166" s="48"/>
      <c r="O166" s="48"/>
      <c r="P166" s="48"/>
      <c r="Q166" s="125"/>
      <c r="R166" s="52"/>
      <c r="S166" s="52"/>
      <c r="T166" s="48"/>
      <c r="U166" s="215" t="e">
        <f t="shared" si="39"/>
        <v>#DIV/0!</v>
      </c>
      <c r="V166" s="64"/>
      <c r="W166" s="64"/>
      <c r="X166" s="22"/>
      <c r="Y166" s="215" t="e">
        <f t="shared" si="40"/>
        <v>#DIV/0!</v>
      </c>
      <c r="Z166" s="170"/>
      <c r="AA166" s="170"/>
      <c r="AB166" s="51"/>
      <c r="AC166" s="51"/>
      <c r="AD166" s="51"/>
      <c r="AE166" s="51"/>
      <c r="AF166" s="52"/>
      <c r="AG166" s="53"/>
      <c r="AH166" s="53"/>
      <c r="AI166" s="53"/>
      <c r="AJ166" s="53"/>
      <c r="AK166" s="174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120"/>
      <c r="CB166" s="120"/>
      <c r="CK166" s="41"/>
      <c r="CL166" s="42"/>
      <c r="CM166" s="42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</row>
    <row r="167" spans="1:123" hidden="1" outlineLevel="1">
      <c r="A167" s="41"/>
      <c r="B167" s="46"/>
      <c r="C167" s="41"/>
      <c r="D167" s="41"/>
      <c r="E167" s="13"/>
      <c r="F167" s="13"/>
      <c r="G167" s="41"/>
      <c r="H167" s="46"/>
      <c r="I167" s="46"/>
      <c r="J167" s="48"/>
      <c r="K167" s="48"/>
      <c r="L167" s="48"/>
      <c r="M167" s="48"/>
      <c r="N167" s="48"/>
      <c r="O167" s="48"/>
      <c r="P167" s="48"/>
      <c r="Q167" s="125"/>
      <c r="R167" s="52"/>
      <c r="S167" s="52"/>
      <c r="T167" s="48"/>
      <c r="U167" s="215" t="e">
        <f t="shared" si="39"/>
        <v>#DIV/0!</v>
      </c>
      <c r="V167" s="64"/>
      <c r="W167" s="64"/>
      <c r="X167" s="22"/>
      <c r="Y167" s="215" t="e">
        <f t="shared" si="40"/>
        <v>#DIV/0!</v>
      </c>
      <c r="Z167" s="170"/>
      <c r="AA167" s="170"/>
      <c r="AB167" s="51"/>
      <c r="AC167" s="51"/>
      <c r="AD167" s="51"/>
      <c r="AE167" s="51"/>
      <c r="AF167" s="52"/>
      <c r="AG167" s="53"/>
      <c r="AH167" s="53"/>
      <c r="AI167" s="53"/>
      <c r="AJ167" s="53"/>
      <c r="AK167" s="174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120"/>
      <c r="CB167" s="120"/>
      <c r="CK167" s="41"/>
      <c r="CL167" s="42"/>
      <c r="CM167" s="42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</row>
    <row r="168" spans="1:123" hidden="1" outlineLevel="1">
      <c r="A168" s="41"/>
      <c r="B168" s="46"/>
      <c r="C168" s="41"/>
      <c r="D168" s="41"/>
      <c r="E168" s="13"/>
      <c r="F168" s="13"/>
      <c r="G168" s="41"/>
      <c r="H168" s="46"/>
      <c r="I168" s="46"/>
      <c r="J168" s="48"/>
      <c r="K168" s="48"/>
      <c r="L168" s="48"/>
      <c r="M168" s="48"/>
      <c r="N168" s="48"/>
      <c r="O168" s="48"/>
      <c r="P168" s="48"/>
      <c r="Q168" s="125"/>
      <c r="R168" s="52"/>
      <c r="S168" s="52"/>
      <c r="T168" s="48"/>
      <c r="U168" s="215" t="e">
        <f t="shared" si="39"/>
        <v>#DIV/0!</v>
      </c>
      <c r="V168" s="64"/>
      <c r="W168" s="64"/>
      <c r="X168" s="22"/>
      <c r="Y168" s="215" t="e">
        <f t="shared" si="40"/>
        <v>#DIV/0!</v>
      </c>
      <c r="Z168" s="170"/>
      <c r="AA168" s="170"/>
      <c r="AB168" s="51"/>
      <c r="AC168" s="51"/>
      <c r="AD168" s="51"/>
      <c r="AE168" s="51"/>
      <c r="AF168" s="52"/>
      <c r="AG168" s="53"/>
      <c r="AH168" s="53"/>
      <c r="AI168" s="53"/>
      <c r="AJ168" s="53"/>
      <c r="AK168" s="174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120"/>
      <c r="CB168" s="120"/>
      <c r="CK168" s="41"/>
      <c r="CL168" s="42"/>
      <c r="CM168" s="42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</row>
    <row r="169" spans="1:123" hidden="1" outlineLevel="1">
      <c r="A169" s="41"/>
      <c r="B169" s="46"/>
      <c r="C169" s="41"/>
      <c r="D169" s="41"/>
      <c r="E169" s="13"/>
      <c r="F169" s="13"/>
      <c r="G169" s="41"/>
      <c r="H169" s="46"/>
      <c r="I169" s="46"/>
      <c r="J169" s="48"/>
      <c r="K169" s="48"/>
      <c r="L169" s="48"/>
      <c r="M169" s="48"/>
      <c r="N169" s="48"/>
      <c r="O169" s="48"/>
      <c r="P169" s="48"/>
      <c r="Q169" s="125"/>
      <c r="R169" s="52"/>
      <c r="S169" s="52"/>
      <c r="T169" s="48"/>
      <c r="U169" s="215" t="e">
        <f t="shared" si="39"/>
        <v>#DIV/0!</v>
      </c>
      <c r="V169" s="64"/>
      <c r="W169" s="64"/>
      <c r="X169" s="22"/>
      <c r="Y169" s="215" t="e">
        <f t="shared" si="40"/>
        <v>#DIV/0!</v>
      </c>
      <c r="Z169" s="170"/>
      <c r="AA169" s="170"/>
      <c r="AB169" s="51"/>
      <c r="AC169" s="51"/>
      <c r="AD169" s="51"/>
      <c r="AE169" s="51"/>
      <c r="AF169" s="52"/>
      <c r="AG169" s="53"/>
      <c r="AH169" s="53"/>
      <c r="AI169" s="53"/>
      <c r="AJ169" s="53"/>
      <c r="AK169" s="174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120"/>
      <c r="CB169" s="120"/>
      <c r="CK169" s="41"/>
      <c r="CL169" s="42"/>
      <c r="CM169" s="42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</row>
    <row r="170" spans="1:123" hidden="1" outlineLevel="1">
      <c r="A170" s="41"/>
      <c r="B170" s="46"/>
      <c r="C170" s="41"/>
      <c r="D170" s="41"/>
      <c r="E170" s="13"/>
      <c r="F170" s="13"/>
      <c r="G170" s="41"/>
      <c r="H170" s="46"/>
      <c r="I170" s="46"/>
      <c r="J170" s="48"/>
      <c r="K170" s="48"/>
      <c r="L170" s="48"/>
      <c r="M170" s="48"/>
      <c r="N170" s="48"/>
      <c r="O170" s="48"/>
      <c r="P170" s="48"/>
      <c r="Q170" s="125"/>
      <c r="R170" s="52"/>
      <c r="S170" s="52"/>
      <c r="T170" s="48"/>
      <c r="U170" s="215" t="e">
        <f t="shared" si="39"/>
        <v>#DIV/0!</v>
      </c>
      <c r="V170" s="64"/>
      <c r="W170" s="64"/>
      <c r="X170" s="22"/>
      <c r="Y170" s="215" t="e">
        <f t="shared" si="40"/>
        <v>#DIV/0!</v>
      </c>
      <c r="Z170" s="170"/>
      <c r="AA170" s="170"/>
      <c r="AB170" s="51"/>
      <c r="AC170" s="51"/>
      <c r="AD170" s="51"/>
      <c r="AE170" s="51"/>
      <c r="AF170" s="52"/>
      <c r="AG170" s="53"/>
      <c r="AH170" s="53"/>
      <c r="AI170" s="53"/>
      <c r="AJ170" s="53"/>
      <c r="AK170" s="174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120"/>
      <c r="CB170" s="120"/>
      <c r="CK170" s="41"/>
      <c r="CL170" s="42"/>
      <c r="CM170" s="42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</row>
    <row r="171" spans="1:123" hidden="1" outlineLevel="1">
      <c r="A171" s="41"/>
      <c r="B171" s="46"/>
      <c r="C171" s="41"/>
      <c r="D171" s="41"/>
      <c r="E171" s="13"/>
      <c r="F171" s="13"/>
      <c r="G171" s="41"/>
      <c r="H171" s="46"/>
      <c r="I171" s="46"/>
      <c r="J171" s="48"/>
      <c r="K171" s="48"/>
      <c r="L171" s="48"/>
      <c r="M171" s="48"/>
      <c r="N171" s="48"/>
      <c r="O171" s="48"/>
      <c r="P171" s="48"/>
      <c r="Q171" s="125"/>
      <c r="R171" s="52"/>
      <c r="S171" s="52"/>
      <c r="T171" s="48"/>
      <c r="U171" s="215" t="e">
        <f t="shared" si="39"/>
        <v>#DIV/0!</v>
      </c>
      <c r="V171" s="64"/>
      <c r="W171" s="64"/>
      <c r="X171" s="22"/>
      <c r="Y171" s="215" t="e">
        <f t="shared" si="40"/>
        <v>#DIV/0!</v>
      </c>
      <c r="Z171" s="170"/>
      <c r="AA171" s="170"/>
      <c r="AB171" s="51"/>
      <c r="AC171" s="51"/>
      <c r="AD171" s="51"/>
      <c r="AE171" s="51"/>
      <c r="AF171" s="52"/>
      <c r="AG171" s="53"/>
      <c r="AH171" s="53"/>
      <c r="AI171" s="53"/>
      <c r="AJ171" s="53"/>
      <c r="AK171" s="174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120"/>
      <c r="CB171" s="120"/>
      <c r="CK171" s="41"/>
      <c r="CL171" s="42"/>
      <c r="CM171" s="42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</row>
    <row r="172" spans="1:123" hidden="1" outlineLevel="1">
      <c r="A172" s="41"/>
      <c r="B172" s="46"/>
      <c r="C172" s="41"/>
      <c r="D172" s="41"/>
      <c r="E172" s="13"/>
      <c r="F172" s="13"/>
      <c r="G172" s="41"/>
      <c r="H172" s="46"/>
      <c r="I172" s="46"/>
      <c r="J172" s="48"/>
      <c r="K172" s="48"/>
      <c r="L172" s="48"/>
      <c r="M172" s="48"/>
      <c r="N172" s="48"/>
      <c r="O172" s="48"/>
      <c r="P172" s="48"/>
      <c r="Q172" s="125"/>
      <c r="R172" s="52"/>
      <c r="S172" s="52"/>
      <c r="T172" s="48"/>
      <c r="U172" s="215" t="e">
        <f t="shared" si="39"/>
        <v>#DIV/0!</v>
      </c>
      <c r="V172" s="64"/>
      <c r="W172" s="64"/>
      <c r="X172" s="22"/>
      <c r="Y172" s="215" t="e">
        <f t="shared" si="40"/>
        <v>#DIV/0!</v>
      </c>
      <c r="Z172" s="170"/>
      <c r="AA172" s="170"/>
      <c r="AB172" s="51"/>
      <c r="AC172" s="51"/>
      <c r="AD172" s="51"/>
      <c r="AE172" s="51"/>
      <c r="AF172" s="52"/>
      <c r="AG172" s="53"/>
      <c r="AH172" s="53"/>
      <c r="AI172" s="53"/>
      <c r="AJ172" s="53"/>
      <c r="AK172" s="174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120"/>
      <c r="CB172" s="120"/>
      <c r="CK172" s="41"/>
      <c r="CL172" s="42"/>
      <c r="CM172" s="42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</row>
    <row r="173" spans="1:123" hidden="1" outlineLevel="1">
      <c r="A173" s="41"/>
      <c r="B173" s="46"/>
      <c r="C173" s="41"/>
      <c r="D173" s="41"/>
      <c r="E173" s="13"/>
      <c r="F173" s="13"/>
      <c r="G173" s="41"/>
      <c r="H173" s="46"/>
      <c r="I173" s="46"/>
      <c r="J173" s="48"/>
      <c r="K173" s="48"/>
      <c r="L173" s="48"/>
      <c r="M173" s="48"/>
      <c r="N173" s="48"/>
      <c r="O173" s="48"/>
      <c r="P173" s="48"/>
      <c r="Q173" s="125"/>
      <c r="R173" s="52"/>
      <c r="S173" s="52"/>
      <c r="T173" s="48"/>
      <c r="U173" s="215" t="e">
        <f t="shared" si="39"/>
        <v>#DIV/0!</v>
      </c>
      <c r="V173" s="64"/>
      <c r="W173" s="64"/>
      <c r="X173" s="22"/>
      <c r="Y173" s="215" t="e">
        <f t="shared" si="40"/>
        <v>#DIV/0!</v>
      </c>
      <c r="Z173" s="170"/>
      <c r="AA173" s="170"/>
      <c r="AB173" s="51"/>
      <c r="AC173" s="51"/>
      <c r="AD173" s="51"/>
      <c r="AE173" s="51"/>
      <c r="AF173" s="52"/>
      <c r="AG173" s="53"/>
      <c r="AH173" s="53"/>
      <c r="AI173" s="53"/>
      <c r="AJ173" s="53"/>
      <c r="AK173" s="174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120"/>
      <c r="CB173" s="120"/>
      <c r="CK173" s="41"/>
      <c r="CL173" s="42"/>
      <c r="CM173" s="42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</row>
    <row r="174" spans="1:123" hidden="1" outlineLevel="1">
      <c r="A174" s="41"/>
      <c r="B174" s="46"/>
      <c r="C174" s="41"/>
      <c r="D174" s="41"/>
      <c r="E174" s="13"/>
      <c r="F174" s="13"/>
      <c r="G174" s="41"/>
      <c r="H174" s="46"/>
      <c r="I174" s="46"/>
      <c r="J174" s="48"/>
      <c r="K174" s="48"/>
      <c r="L174" s="48"/>
      <c r="M174" s="48"/>
      <c r="N174" s="48"/>
      <c r="O174" s="48"/>
      <c r="P174" s="48"/>
      <c r="Q174" s="125"/>
      <c r="R174" s="52"/>
      <c r="S174" s="52"/>
      <c r="T174" s="48"/>
      <c r="U174" s="215" t="e">
        <f t="shared" si="39"/>
        <v>#DIV/0!</v>
      </c>
      <c r="V174" s="64"/>
      <c r="W174" s="64"/>
      <c r="X174" s="22"/>
      <c r="Y174" s="215" t="e">
        <f t="shared" si="40"/>
        <v>#DIV/0!</v>
      </c>
      <c r="Z174" s="170"/>
      <c r="AA174" s="170"/>
      <c r="AB174" s="51"/>
      <c r="AC174" s="51"/>
      <c r="AD174" s="51"/>
      <c r="AE174" s="51"/>
      <c r="AF174" s="52"/>
      <c r="AG174" s="53"/>
      <c r="AH174" s="53"/>
      <c r="AI174" s="53"/>
      <c r="AJ174" s="53"/>
      <c r="AK174" s="174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120"/>
      <c r="CB174" s="120"/>
      <c r="CK174" s="41"/>
      <c r="CL174" s="42"/>
      <c r="CM174" s="42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</row>
    <row r="175" spans="1:123" hidden="1" outlineLevel="1">
      <c r="A175" s="41"/>
      <c r="B175" s="46"/>
      <c r="C175" s="41"/>
      <c r="D175" s="41"/>
      <c r="E175" s="13"/>
      <c r="F175" s="13"/>
      <c r="G175" s="41"/>
      <c r="H175" s="46"/>
      <c r="I175" s="46"/>
      <c r="J175" s="48"/>
      <c r="K175" s="48"/>
      <c r="L175" s="48"/>
      <c r="M175" s="48"/>
      <c r="N175" s="48"/>
      <c r="O175" s="48"/>
      <c r="P175" s="48"/>
      <c r="Q175" s="125"/>
      <c r="R175" s="52"/>
      <c r="S175" s="52"/>
      <c r="T175" s="48"/>
      <c r="U175" s="215" t="e">
        <f t="shared" si="39"/>
        <v>#DIV/0!</v>
      </c>
      <c r="V175" s="64"/>
      <c r="W175" s="64"/>
      <c r="X175" s="22"/>
      <c r="Y175" s="215" t="e">
        <f t="shared" si="40"/>
        <v>#DIV/0!</v>
      </c>
      <c r="Z175" s="170"/>
      <c r="AA175" s="170"/>
      <c r="AB175" s="51"/>
      <c r="AC175" s="51"/>
      <c r="AD175" s="51"/>
      <c r="AE175" s="51"/>
      <c r="AF175" s="52"/>
      <c r="AG175" s="53"/>
      <c r="AH175" s="53"/>
      <c r="AI175" s="53"/>
      <c r="AJ175" s="53"/>
      <c r="AK175" s="174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120"/>
      <c r="CB175" s="120"/>
      <c r="CK175" s="41"/>
      <c r="CL175" s="42"/>
      <c r="CM175" s="42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</row>
    <row r="176" spans="1:123" hidden="1" outlineLevel="1">
      <c r="A176" s="41"/>
      <c r="B176" s="46"/>
      <c r="C176" s="41"/>
      <c r="D176" s="41"/>
      <c r="E176" s="13"/>
      <c r="F176" s="13"/>
      <c r="G176" s="41"/>
      <c r="H176" s="46"/>
      <c r="I176" s="46"/>
      <c r="J176" s="48"/>
      <c r="K176" s="48"/>
      <c r="L176" s="48"/>
      <c r="M176" s="48"/>
      <c r="N176" s="48"/>
      <c r="O176" s="48"/>
      <c r="P176" s="48"/>
      <c r="Q176" s="125"/>
      <c r="R176" s="52"/>
      <c r="S176" s="52"/>
      <c r="T176" s="48"/>
      <c r="U176" s="215" t="e">
        <f t="shared" si="39"/>
        <v>#DIV/0!</v>
      </c>
      <c r="V176" s="64"/>
      <c r="W176" s="64"/>
      <c r="X176" s="22"/>
      <c r="Y176" s="215" t="e">
        <f t="shared" si="40"/>
        <v>#DIV/0!</v>
      </c>
      <c r="Z176" s="170"/>
      <c r="AA176" s="170"/>
      <c r="AB176" s="51"/>
      <c r="AC176" s="51"/>
      <c r="AD176" s="51"/>
      <c r="AE176" s="51"/>
      <c r="AF176" s="52"/>
      <c r="AG176" s="53"/>
      <c r="AH176" s="53"/>
      <c r="AI176" s="53"/>
      <c r="AJ176" s="53"/>
      <c r="AK176" s="174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120"/>
      <c r="CB176" s="120"/>
      <c r="CK176" s="41"/>
      <c r="CL176" s="42"/>
      <c r="CM176" s="42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</row>
    <row r="177" spans="1:123" hidden="1" outlineLevel="1">
      <c r="A177" s="41"/>
      <c r="B177" s="46"/>
      <c r="C177" s="41"/>
      <c r="D177" s="41"/>
      <c r="E177" s="13"/>
      <c r="F177" s="13"/>
      <c r="G177" s="41"/>
      <c r="H177" s="46"/>
      <c r="I177" s="46"/>
      <c r="J177" s="48"/>
      <c r="K177" s="48"/>
      <c r="L177" s="48"/>
      <c r="M177" s="48"/>
      <c r="N177" s="48"/>
      <c r="O177" s="48"/>
      <c r="P177" s="48"/>
      <c r="Q177" s="125"/>
      <c r="R177" s="52"/>
      <c r="S177" s="52"/>
      <c r="T177" s="48"/>
      <c r="U177" s="215" t="e">
        <f t="shared" si="39"/>
        <v>#DIV/0!</v>
      </c>
      <c r="V177" s="64"/>
      <c r="W177" s="64"/>
      <c r="X177" s="22"/>
      <c r="Y177" s="215" t="e">
        <f t="shared" si="40"/>
        <v>#DIV/0!</v>
      </c>
      <c r="Z177" s="170"/>
      <c r="AA177" s="170"/>
      <c r="AB177" s="51"/>
      <c r="AC177" s="51"/>
      <c r="AD177" s="51"/>
      <c r="AE177" s="51"/>
      <c r="AF177" s="52"/>
      <c r="AG177" s="53"/>
      <c r="AH177" s="53"/>
      <c r="AI177" s="53"/>
      <c r="AJ177" s="53"/>
      <c r="AK177" s="174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120"/>
      <c r="CB177" s="120"/>
      <c r="CK177" s="41"/>
      <c r="CL177" s="42"/>
      <c r="CM177" s="42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</row>
    <row r="178" spans="1:123" hidden="1" outlineLevel="1">
      <c r="A178" s="41"/>
      <c r="B178" s="46"/>
      <c r="C178" s="41"/>
      <c r="D178" s="41"/>
      <c r="E178" s="13"/>
      <c r="F178" s="13"/>
      <c r="G178" s="41"/>
      <c r="H178" s="46"/>
      <c r="I178" s="46"/>
      <c r="J178" s="48"/>
      <c r="K178" s="48"/>
      <c r="L178" s="48"/>
      <c r="M178" s="48"/>
      <c r="N178" s="48"/>
      <c r="O178" s="48"/>
      <c r="P178" s="48"/>
      <c r="Q178" s="125"/>
      <c r="R178" s="52"/>
      <c r="S178" s="52"/>
      <c r="T178" s="48"/>
      <c r="U178" s="215" t="e">
        <f t="shared" si="39"/>
        <v>#DIV/0!</v>
      </c>
      <c r="V178" s="64"/>
      <c r="W178" s="64"/>
      <c r="X178" s="22"/>
      <c r="Y178" s="215" t="e">
        <f t="shared" si="40"/>
        <v>#DIV/0!</v>
      </c>
      <c r="Z178" s="170"/>
      <c r="AA178" s="170"/>
      <c r="AB178" s="51"/>
      <c r="AC178" s="51"/>
      <c r="AD178" s="51"/>
      <c r="AE178" s="51"/>
      <c r="AF178" s="52"/>
      <c r="AG178" s="53"/>
      <c r="AH178" s="53"/>
      <c r="AI178" s="53"/>
      <c r="AJ178" s="53"/>
      <c r="AK178" s="174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120"/>
      <c r="CB178" s="120"/>
      <c r="CK178" s="41"/>
      <c r="CL178" s="42"/>
      <c r="CM178" s="42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</row>
    <row r="179" spans="1:123" hidden="1" outlineLevel="1">
      <c r="A179" s="41"/>
      <c r="B179" s="46"/>
      <c r="C179" s="41"/>
      <c r="D179" s="41"/>
      <c r="E179" s="13"/>
      <c r="F179" s="13"/>
      <c r="G179" s="41"/>
      <c r="H179" s="46"/>
      <c r="I179" s="46"/>
      <c r="J179" s="48"/>
      <c r="K179" s="48"/>
      <c r="L179" s="48"/>
      <c r="M179" s="48"/>
      <c r="N179" s="48"/>
      <c r="O179" s="48"/>
      <c r="P179" s="48"/>
      <c r="Q179" s="125"/>
      <c r="R179" s="52"/>
      <c r="S179" s="52"/>
      <c r="T179" s="48"/>
      <c r="U179" s="215" t="e">
        <f t="shared" si="39"/>
        <v>#DIV/0!</v>
      </c>
      <c r="V179" s="64"/>
      <c r="W179" s="64"/>
      <c r="X179" s="22"/>
      <c r="Y179" s="215" t="e">
        <f t="shared" si="40"/>
        <v>#DIV/0!</v>
      </c>
      <c r="Z179" s="170"/>
      <c r="AA179" s="170"/>
      <c r="AB179" s="51"/>
      <c r="AC179" s="51"/>
      <c r="AD179" s="51"/>
      <c r="AE179" s="51"/>
      <c r="AF179" s="52"/>
      <c r="AG179" s="53"/>
      <c r="AH179" s="53"/>
      <c r="AI179" s="53"/>
      <c r="AJ179" s="53"/>
      <c r="AK179" s="174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120"/>
      <c r="CB179" s="120"/>
      <c r="CK179" s="41"/>
      <c r="CL179" s="42"/>
      <c r="CM179" s="42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</row>
    <row r="180" spans="1:123" hidden="1" outlineLevel="1">
      <c r="A180" s="41"/>
      <c r="B180" s="46"/>
      <c r="C180" s="41"/>
      <c r="D180" s="41"/>
      <c r="E180" s="13"/>
      <c r="F180" s="13"/>
      <c r="G180" s="41"/>
      <c r="H180" s="46"/>
      <c r="I180" s="46"/>
      <c r="J180" s="48"/>
      <c r="K180" s="48"/>
      <c r="L180" s="48"/>
      <c r="M180" s="48"/>
      <c r="N180" s="48"/>
      <c r="O180" s="48"/>
      <c r="P180" s="48"/>
      <c r="Q180" s="125"/>
      <c r="R180" s="52"/>
      <c r="S180" s="52"/>
      <c r="T180" s="48"/>
      <c r="U180" s="215" t="e">
        <f t="shared" si="39"/>
        <v>#DIV/0!</v>
      </c>
      <c r="V180" s="64"/>
      <c r="W180" s="64"/>
      <c r="X180" s="22"/>
      <c r="Y180" s="215" t="e">
        <f t="shared" si="40"/>
        <v>#DIV/0!</v>
      </c>
      <c r="Z180" s="170"/>
      <c r="AA180" s="170"/>
      <c r="AB180" s="51"/>
      <c r="AC180" s="51"/>
      <c r="AD180" s="51"/>
      <c r="AE180" s="51"/>
      <c r="AF180" s="52"/>
      <c r="AG180" s="53"/>
      <c r="AH180" s="53"/>
      <c r="AI180" s="53"/>
      <c r="AJ180" s="53"/>
      <c r="AK180" s="174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120"/>
      <c r="CB180" s="120"/>
      <c r="CK180" s="41"/>
      <c r="CL180" s="42"/>
      <c r="CM180" s="42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</row>
    <row r="181" spans="1:123" hidden="1" outlineLevel="1">
      <c r="A181" s="41"/>
      <c r="B181" s="46"/>
      <c r="C181" s="41"/>
      <c r="D181" s="41"/>
      <c r="E181" s="13"/>
      <c r="F181" s="13"/>
      <c r="G181" s="41"/>
      <c r="H181" s="46"/>
      <c r="I181" s="46"/>
      <c r="J181" s="48"/>
      <c r="K181" s="48"/>
      <c r="L181" s="48"/>
      <c r="M181" s="48"/>
      <c r="N181" s="48"/>
      <c r="O181" s="48"/>
      <c r="P181" s="48"/>
      <c r="Q181" s="125"/>
      <c r="R181" s="52"/>
      <c r="S181" s="52"/>
      <c r="T181" s="48"/>
      <c r="U181" s="215" t="e">
        <f t="shared" si="39"/>
        <v>#DIV/0!</v>
      </c>
      <c r="V181" s="64"/>
      <c r="W181" s="64"/>
      <c r="X181" s="22"/>
      <c r="Y181" s="215" t="e">
        <f t="shared" si="40"/>
        <v>#DIV/0!</v>
      </c>
      <c r="Z181" s="170"/>
      <c r="AA181" s="170"/>
      <c r="AB181" s="51"/>
      <c r="AC181" s="51"/>
      <c r="AD181" s="51"/>
      <c r="AE181" s="51"/>
      <c r="AF181" s="52"/>
      <c r="AG181" s="53"/>
      <c r="AH181" s="53"/>
      <c r="AI181" s="53"/>
      <c r="AJ181" s="53"/>
      <c r="AK181" s="174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120"/>
      <c r="CB181" s="120"/>
      <c r="CK181" s="41"/>
      <c r="CL181" s="42"/>
      <c r="CM181" s="42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</row>
    <row r="182" spans="1:123" hidden="1" outlineLevel="1">
      <c r="A182" s="41"/>
      <c r="B182" s="46"/>
      <c r="C182" s="41"/>
      <c r="D182" s="41"/>
      <c r="E182" s="13"/>
      <c r="F182" s="13"/>
      <c r="G182" s="41"/>
      <c r="H182" s="46"/>
      <c r="I182" s="46"/>
      <c r="J182" s="48"/>
      <c r="K182" s="48"/>
      <c r="L182" s="48"/>
      <c r="M182" s="48"/>
      <c r="N182" s="48"/>
      <c r="O182" s="48"/>
      <c r="P182" s="48"/>
      <c r="Q182" s="125"/>
      <c r="R182" s="52"/>
      <c r="S182" s="52"/>
      <c r="T182" s="48"/>
      <c r="U182" s="215" t="e">
        <f t="shared" si="39"/>
        <v>#DIV/0!</v>
      </c>
      <c r="V182" s="64"/>
      <c r="W182" s="64"/>
      <c r="X182" s="22"/>
      <c r="Y182" s="215" t="e">
        <f t="shared" si="40"/>
        <v>#DIV/0!</v>
      </c>
      <c r="Z182" s="170"/>
      <c r="AA182" s="170"/>
      <c r="AB182" s="51"/>
      <c r="AC182" s="51"/>
      <c r="AD182" s="51"/>
      <c r="AE182" s="51"/>
      <c r="AF182" s="52"/>
      <c r="AG182" s="53"/>
      <c r="AH182" s="53"/>
      <c r="AI182" s="53"/>
      <c r="AJ182" s="53"/>
      <c r="AK182" s="174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120"/>
      <c r="CB182" s="120"/>
      <c r="CK182" s="41"/>
      <c r="CL182" s="42"/>
      <c r="CM182" s="42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</row>
    <row r="183" spans="1:123" hidden="1" outlineLevel="1">
      <c r="A183" s="41"/>
      <c r="B183" s="46"/>
      <c r="C183" s="41"/>
      <c r="D183" s="41"/>
      <c r="E183" s="13"/>
      <c r="F183" s="13"/>
      <c r="G183" s="41"/>
      <c r="H183" s="46"/>
      <c r="I183" s="46"/>
      <c r="J183" s="48"/>
      <c r="K183" s="48"/>
      <c r="L183" s="48"/>
      <c r="M183" s="48"/>
      <c r="N183" s="48"/>
      <c r="O183" s="48"/>
      <c r="P183" s="48"/>
      <c r="Q183" s="125"/>
      <c r="R183" s="52"/>
      <c r="S183" s="52"/>
      <c r="T183" s="48"/>
      <c r="U183" s="215" t="e">
        <f t="shared" si="39"/>
        <v>#DIV/0!</v>
      </c>
      <c r="V183" s="64"/>
      <c r="W183" s="64"/>
      <c r="X183" s="22"/>
      <c r="Y183" s="215" t="e">
        <f t="shared" si="40"/>
        <v>#DIV/0!</v>
      </c>
      <c r="Z183" s="170"/>
      <c r="AA183" s="170"/>
      <c r="AB183" s="51"/>
      <c r="AC183" s="51"/>
      <c r="AD183" s="51"/>
      <c r="AE183" s="51"/>
      <c r="AF183" s="52"/>
      <c r="AG183" s="53"/>
      <c r="AH183" s="53"/>
      <c r="AI183" s="53"/>
      <c r="AJ183" s="53"/>
      <c r="AK183" s="174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120"/>
      <c r="CB183" s="120"/>
      <c r="CK183" s="41"/>
      <c r="CL183" s="42"/>
      <c r="CM183" s="42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</row>
    <row r="184" spans="1:123" hidden="1" outlineLevel="1">
      <c r="A184" s="41"/>
      <c r="B184" s="46"/>
      <c r="C184" s="41"/>
      <c r="D184" s="41"/>
      <c r="E184" s="13"/>
      <c r="F184" s="13"/>
      <c r="G184" s="41"/>
      <c r="H184" s="46"/>
      <c r="I184" s="46"/>
      <c r="J184" s="48"/>
      <c r="K184" s="48"/>
      <c r="L184" s="48"/>
      <c r="M184" s="48"/>
      <c r="N184" s="48"/>
      <c r="O184" s="48"/>
      <c r="P184" s="48"/>
      <c r="Q184" s="125"/>
      <c r="R184" s="52"/>
      <c r="S184" s="52"/>
      <c r="T184" s="48"/>
      <c r="U184" s="215" t="e">
        <f t="shared" si="39"/>
        <v>#DIV/0!</v>
      </c>
      <c r="V184" s="64"/>
      <c r="W184" s="64"/>
      <c r="X184" s="22"/>
      <c r="Y184" s="215" t="e">
        <f t="shared" si="40"/>
        <v>#DIV/0!</v>
      </c>
      <c r="Z184" s="170"/>
      <c r="AA184" s="170"/>
      <c r="AB184" s="51"/>
      <c r="AC184" s="51"/>
      <c r="AD184" s="51"/>
      <c r="AE184" s="51"/>
      <c r="AF184" s="52"/>
      <c r="AG184" s="53"/>
      <c r="AH184" s="53"/>
      <c r="AI184" s="53"/>
      <c r="AJ184" s="53"/>
      <c r="AK184" s="174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120"/>
      <c r="CB184" s="120"/>
      <c r="CK184" s="41"/>
      <c r="CL184" s="42"/>
      <c r="CM184" s="42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</row>
    <row r="185" spans="1:123" hidden="1" outlineLevel="1">
      <c r="A185" s="41"/>
      <c r="B185" s="46"/>
      <c r="C185" s="41"/>
      <c r="D185" s="41"/>
      <c r="E185" s="13"/>
      <c r="F185" s="13"/>
      <c r="G185" s="41"/>
      <c r="H185" s="46"/>
      <c r="I185" s="46"/>
      <c r="J185" s="48"/>
      <c r="K185" s="48"/>
      <c r="L185" s="48"/>
      <c r="M185" s="48"/>
      <c r="N185" s="48"/>
      <c r="O185" s="48"/>
      <c r="P185" s="48"/>
      <c r="Q185" s="125"/>
      <c r="R185" s="52"/>
      <c r="S185" s="52"/>
      <c r="T185" s="48"/>
      <c r="U185" s="215" t="e">
        <f t="shared" si="39"/>
        <v>#DIV/0!</v>
      </c>
      <c r="V185" s="64"/>
      <c r="W185" s="64"/>
      <c r="X185" s="22"/>
      <c r="Y185" s="215" t="e">
        <f t="shared" si="40"/>
        <v>#DIV/0!</v>
      </c>
      <c r="Z185" s="170"/>
      <c r="AA185" s="170"/>
      <c r="AB185" s="51"/>
      <c r="AC185" s="51"/>
      <c r="AD185" s="51"/>
      <c r="AE185" s="51"/>
      <c r="AF185" s="52"/>
      <c r="AG185" s="53"/>
      <c r="AH185" s="53"/>
      <c r="AI185" s="53"/>
      <c r="AJ185" s="53"/>
      <c r="AK185" s="174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120"/>
      <c r="CB185" s="120"/>
      <c r="CK185" s="41"/>
      <c r="CL185" s="42"/>
      <c r="CM185" s="42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</row>
    <row r="186" spans="1:123" hidden="1" outlineLevel="1">
      <c r="A186" s="41"/>
      <c r="B186" s="46"/>
      <c r="C186" s="41"/>
      <c r="D186" s="41"/>
      <c r="E186" s="13"/>
      <c r="F186" s="13"/>
      <c r="G186" s="41"/>
      <c r="H186" s="46"/>
      <c r="I186" s="46"/>
      <c r="J186" s="48"/>
      <c r="K186" s="48"/>
      <c r="L186" s="48"/>
      <c r="M186" s="48"/>
      <c r="N186" s="48"/>
      <c r="O186" s="48"/>
      <c r="P186" s="48"/>
      <c r="Q186" s="125"/>
      <c r="R186" s="52"/>
      <c r="S186" s="52"/>
      <c r="T186" s="48"/>
      <c r="U186" s="215" t="e">
        <f t="shared" si="39"/>
        <v>#DIV/0!</v>
      </c>
      <c r="V186" s="64"/>
      <c r="W186" s="64"/>
      <c r="X186" s="22"/>
      <c r="Y186" s="215" t="e">
        <f t="shared" si="40"/>
        <v>#DIV/0!</v>
      </c>
      <c r="Z186" s="170"/>
      <c r="AA186" s="170"/>
      <c r="AB186" s="51"/>
      <c r="AC186" s="51"/>
      <c r="AD186" s="51"/>
      <c r="AE186" s="51"/>
      <c r="AF186" s="52"/>
      <c r="AG186" s="53"/>
      <c r="AH186" s="53"/>
      <c r="AI186" s="53"/>
      <c r="AJ186" s="53"/>
      <c r="AK186" s="174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120"/>
      <c r="CB186" s="120"/>
      <c r="CK186" s="41"/>
      <c r="CL186" s="42"/>
      <c r="CM186" s="42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</row>
    <row r="187" spans="1:123" hidden="1" outlineLevel="1">
      <c r="A187" s="41"/>
      <c r="B187" s="46"/>
      <c r="C187" s="41"/>
      <c r="D187" s="41"/>
      <c r="E187" s="13"/>
      <c r="F187" s="13"/>
      <c r="G187" s="41"/>
      <c r="H187" s="46"/>
      <c r="I187" s="46"/>
      <c r="J187" s="48"/>
      <c r="K187" s="48"/>
      <c r="L187" s="48"/>
      <c r="M187" s="48"/>
      <c r="N187" s="48"/>
      <c r="O187" s="48"/>
      <c r="P187" s="48"/>
      <c r="Q187" s="125"/>
      <c r="R187" s="52"/>
      <c r="S187" s="52"/>
      <c r="T187" s="48"/>
      <c r="U187" s="215" t="e">
        <f t="shared" si="39"/>
        <v>#DIV/0!</v>
      </c>
      <c r="V187" s="64"/>
      <c r="W187" s="64"/>
      <c r="X187" s="22"/>
      <c r="Y187" s="215" t="e">
        <f t="shared" si="40"/>
        <v>#DIV/0!</v>
      </c>
      <c r="Z187" s="170"/>
      <c r="AA187" s="170"/>
      <c r="AB187" s="51"/>
      <c r="AC187" s="51"/>
      <c r="AD187" s="51"/>
      <c r="AE187" s="51"/>
      <c r="AF187" s="52"/>
      <c r="AG187" s="53"/>
      <c r="AH187" s="53"/>
      <c r="AI187" s="53"/>
      <c r="AJ187" s="53"/>
      <c r="AK187" s="174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120"/>
      <c r="CB187" s="120"/>
      <c r="CK187" s="41"/>
      <c r="CL187" s="42"/>
      <c r="CM187" s="42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</row>
    <row r="188" spans="1:123" hidden="1" outlineLevel="1">
      <c r="A188" s="41"/>
      <c r="B188" s="46"/>
      <c r="C188" s="41"/>
      <c r="D188" s="41"/>
      <c r="E188" s="13"/>
      <c r="F188" s="13"/>
      <c r="G188" s="41"/>
      <c r="H188" s="46"/>
      <c r="I188" s="46"/>
      <c r="J188" s="48"/>
      <c r="K188" s="48"/>
      <c r="L188" s="48"/>
      <c r="M188" s="48"/>
      <c r="N188" s="48"/>
      <c r="O188" s="48"/>
      <c r="P188" s="48"/>
      <c r="Q188" s="125"/>
      <c r="R188" s="52"/>
      <c r="S188" s="52"/>
      <c r="T188" s="48"/>
      <c r="U188" s="215" t="e">
        <f t="shared" si="39"/>
        <v>#DIV/0!</v>
      </c>
      <c r="V188" s="64"/>
      <c r="W188" s="64"/>
      <c r="X188" s="22"/>
      <c r="Y188" s="215" t="e">
        <f t="shared" si="40"/>
        <v>#DIV/0!</v>
      </c>
      <c r="Z188" s="170"/>
      <c r="AA188" s="170"/>
      <c r="AB188" s="51"/>
      <c r="AC188" s="51"/>
      <c r="AD188" s="51"/>
      <c r="AE188" s="51"/>
      <c r="AF188" s="52"/>
      <c r="AG188" s="53"/>
      <c r="AH188" s="53"/>
      <c r="AI188" s="53"/>
      <c r="AJ188" s="53"/>
      <c r="AK188" s="174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120"/>
      <c r="CB188" s="120"/>
      <c r="CK188" s="41"/>
      <c r="CL188" s="42"/>
      <c r="CM188" s="42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</row>
    <row r="189" spans="1:123" hidden="1" outlineLevel="1">
      <c r="A189" s="41"/>
      <c r="B189" s="46"/>
      <c r="C189" s="41"/>
      <c r="D189" s="41"/>
      <c r="E189" s="13"/>
      <c r="F189" s="13"/>
      <c r="G189" s="41"/>
      <c r="H189" s="46"/>
      <c r="I189" s="46"/>
      <c r="J189" s="48"/>
      <c r="K189" s="48"/>
      <c r="L189" s="48"/>
      <c r="M189" s="48"/>
      <c r="N189" s="48"/>
      <c r="O189" s="48"/>
      <c r="P189" s="48"/>
      <c r="Q189" s="125"/>
      <c r="R189" s="52"/>
      <c r="S189" s="52"/>
      <c r="T189" s="48"/>
      <c r="U189" s="215" t="e">
        <f t="shared" si="39"/>
        <v>#DIV/0!</v>
      </c>
      <c r="V189" s="64"/>
      <c r="W189" s="64"/>
      <c r="X189" s="22"/>
      <c r="Y189" s="215" t="e">
        <f t="shared" si="40"/>
        <v>#DIV/0!</v>
      </c>
      <c r="Z189" s="170"/>
      <c r="AA189" s="170"/>
      <c r="AB189" s="51"/>
      <c r="AC189" s="51"/>
      <c r="AD189" s="51"/>
      <c r="AE189" s="51"/>
      <c r="AF189" s="52"/>
      <c r="AG189" s="53"/>
      <c r="AH189" s="53"/>
      <c r="AI189" s="53"/>
      <c r="AJ189" s="53"/>
      <c r="AK189" s="174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120"/>
      <c r="CB189" s="120"/>
      <c r="CK189" s="41"/>
      <c r="CL189" s="42"/>
      <c r="CM189" s="42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</row>
    <row r="190" spans="1:123" hidden="1" outlineLevel="1">
      <c r="A190" s="41"/>
      <c r="B190" s="46"/>
      <c r="C190" s="41"/>
      <c r="D190" s="41"/>
      <c r="E190" s="13"/>
      <c r="F190" s="13"/>
      <c r="G190" s="41"/>
      <c r="H190" s="46"/>
      <c r="I190" s="46"/>
      <c r="J190" s="48"/>
      <c r="K190" s="48"/>
      <c r="L190" s="48"/>
      <c r="M190" s="48"/>
      <c r="N190" s="48"/>
      <c r="O190" s="48"/>
      <c r="P190" s="48"/>
      <c r="Q190" s="125"/>
      <c r="R190" s="52"/>
      <c r="S190" s="52"/>
      <c r="T190" s="48"/>
      <c r="U190" s="215" t="e">
        <f t="shared" si="39"/>
        <v>#DIV/0!</v>
      </c>
      <c r="V190" s="64"/>
      <c r="W190" s="64"/>
      <c r="X190" s="22"/>
      <c r="Y190" s="215" t="e">
        <f t="shared" si="40"/>
        <v>#DIV/0!</v>
      </c>
      <c r="Z190" s="170"/>
      <c r="AA190" s="170"/>
      <c r="AB190" s="51"/>
      <c r="AC190" s="51"/>
      <c r="AD190" s="51"/>
      <c r="AE190" s="51"/>
      <c r="AF190" s="52"/>
      <c r="AG190" s="53"/>
      <c r="AH190" s="53"/>
      <c r="AI190" s="53"/>
      <c r="AJ190" s="53"/>
      <c r="AK190" s="174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120"/>
      <c r="CB190" s="120"/>
      <c r="CK190" s="41"/>
      <c r="CL190" s="42"/>
      <c r="CM190" s="42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</row>
    <row r="191" spans="1:123" hidden="1" outlineLevel="1">
      <c r="A191" s="41"/>
      <c r="B191" s="46"/>
      <c r="C191" s="41"/>
      <c r="D191" s="41"/>
      <c r="E191" s="13"/>
      <c r="F191" s="13"/>
      <c r="G191" s="41"/>
      <c r="H191" s="46"/>
      <c r="I191" s="46"/>
      <c r="J191" s="48"/>
      <c r="K191" s="48"/>
      <c r="L191" s="48"/>
      <c r="M191" s="48"/>
      <c r="N191" s="48"/>
      <c r="O191" s="48"/>
      <c r="P191" s="48"/>
      <c r="Q191" s="125"/>
      <c r="R191" s="52"/>
      <c r="S191" s="52"/>
      <c r="T191" s="48"/>
      <c r="U191" s="215" t="e">
        <f t="shared" si="39"/>
        <v>#DIV/0!</v>
      </c>
      <c r="V191" s="64"/>
      <c r="W191" s="64"/>
      <c r="X191" s="22"/>
      <c r="Y191" s="215" t="e">
        <f t="shared" si="40"/>
        <v>#DIV/0!</v>
      </c>
      <c r="Z191" s="170"/>
      <c r="AA191" s="170"/>
      <c r="AB191" s="51"/>
      <c r="AC191" s="51"/>
      <c r="AD191" s="51"/>
      <c r="AE191" s="51"/>
      <c r="AF191" s="52"/>
      <c r="AG191" s="53"/>
      <c r="AH191" s="53"/>
      <c r="AI191" s="53"/>
      <c r="AJ191" s="53"/>
      <c r="AK191" s="174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120"/>
      <c r="CB191" s="120"/>
      <c r="CK191" s="41"/>
      <c r="CL191" s="42"/>
      <c r="CM191" s="42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</row>
    <row r="192" spans="1:123" hidden="1" outlineLevel="1">
      <c r="A192" s="41"/>
      <c r="B192" s="46"/>
      <c r="C192" s="41"/>
      <c r="D192" s="41"/>
      <c r="E192" s="13"/>
      <c r="F192" s="13"/>
      <c r="G192" s="41"/>
      <c r="H192" s="46"/>
      <c r="I192" s="46"/>
      <c r="J192" s="48"/>
      <c r="K192" s="48"/>
      <c r="L192" s="48"/>
      <c r="M192" s="48"/>
      <c r="N192" s="48"/>
      <c r="O192" s="48"/>
      <c r="P192" s="48"/>
      <c r="Q192" s="125"/>
      <c r="R192" s="52"/>
      <c r="S192" s="52"/>
      <c r="T192" s="48"/>
      <c r="U192" s="215" t="e">
        <f t="shared" si="39"/>
        <v>#DIV/0!</v>
      </c>
      <c r="V192" s="64"/>
      <c r="W192" s="64"/>
      <c r="X192" s="22"/>
      <c r="Y192" s="215" t="e">
        <f t="shared" si="40"/>
        <v>#DIV/0!</v>
      </c>
      <c r="Z192" s="170"/>
      <c r="AA192" s="170"/>
      <c r="AB192" s="51"/>
      <c r="AC192" s="51"/>
      <c r="AD192" s="51"/>
      <c r="AE192" s="51"/>
      <c r="AF192" s="52"/>
      <c r="AG192" s="53"/>
      <c r="AH192" s="53"/>
      <c r="AI192" s="53"/>
      <c r="AJ192" s="53"/>
      <c r="AK192" s="174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120"/>
      <c r="CB192" s="120"/>
      <c r="CK192" s="41"/>
      <c r="CL192" s="42"/>
      <c r="CM192" s="42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</row>
    <row r="193" spans="1:123" hidden="1" outlineLevel="1">
      <c r="A193" s="41"/>
      <c r="B193" s="46"/>
      <c r="C193" s="41"/>
      <c r="D193" s="41"/>
      <c r="E193" s="13"/>
      <c r="F193" s="13"/>
      <c r="G193" s="41"/>
      <c r="H193" s="46"/>
      <c r="I193" s="46"/>
      <c r="J193" s="48"/>
      <c r="K193" s="48"/>
      <c r="L193" s="48"/>
      <c r="M193" s="48"/>
      <c r="N193" s="48"/>
      <c r="O193" s="48"/>
      <c r="P193" s="48"/>
      <c r="Q193" s="125"/>
      <c r="R193" s="52"/>
      <c r="S193" s="52"/>
      <c r="T193" s="48"/>
      <c r="U193" s="215" t="e">
        <f t="shared" si="39"/>
        <v>#DIV/0!</v>
      </c>
      <c r="V193" s="64"/>
      <c r="W193" s="64"/>
      <c r="X193" s="22"/>
      <c r="Y193" s="215" t="e">
        <f t="shared" si="40"/>
        <v>#DIV/0!</v>
      </c>
      <c r="Z193" s="170"/>
      <c r="AA193" s="170"/>
      <c r="AB193" s="51"/>
      <c r="AC193" s="51"/>
      <c r="AD193" s="51"/>
      <c r="AE193" s="51"/>
      <c r="AF193" s="52"/>
      <c r="AG193" s="53"/>
      <c r="AH193" s="53"/>
      <c r="AI193" s="53"/>
      <c r="AJ193" s="53"/>
      <c r="AK193" s="174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120"/>
      <c r="CB193" s="120"/>
      <c r="CK193" s="41"/>
      <c r="CL193" s="42"/>
      <c r="CM193" s="42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</row>
    <row r="194" spans="1:123" hidden="1" outlineLevel="1">
      <c r="A194" s="41"/>
      <c r="B194" s="46"/>
      <c r="C194" s="41"/>
      <c r="D194" s="41"/>
      <c r="E194" s="13"/>
      <c r="F194" s="13"/>
      <c r="G194" s="41"/>
      <c r="H194" s="46"/>
      <c r="I194" s="46"/>
      <c r="J194" s="48"/>
      <c r="K194" s="48"/>
      <c r="L194" s="48"/>
      <c r="M194" s="48"/>
      <c r="N194" s="48"/>
      <c r="O194" s="48"/>
      <c r="P194" s="48"/>
      <c r="Q194" s="125"/>
      <c r="R194" s="52"/>
      <c r="S194" s="52"/>
      <c r="T194" s="48"/>
      <c r="U194" s="215" t="e">
        <f t="shared" si="39"/>
        <v>#DIV/0!</v>
      </c>
      <c r="V194" s="64"/>
      <c r="W194" s="64"/>
      <c r="X194" s="22"/>
      <c r="Y194" s="215" t="e">
        <f t="shared" si="40"/>
        <v>#DIV/0!</v>
      </c>
      <c r="Z194" s="170"/>
      <c r="AA194" s="170"/>
      <c r="AB194" s="51"/>
      <c r="AC194" s="51"/>
      <c r="AD194" s="51"/>
      <c r="AE194" s="51"/>
      <c r="AF194" s="52"/>
      <c r="AG194" s="53"/>
      <c r="AH194" s="53"/>
      <c r="AI194" s="53"/>
      <c r="AJ194" s="53"/>
      <c r="AK194" s="174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120"/>
      <c r="CB194" s="120"/>
      <c r="CK194" s="41"/>
      <c r="CL194" s="42"/>
      <c r="CM194" s="42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</row>
    <row r="195" spans="1:123" hidden="1" outlineLevel="1">
      <c r="A195" s="41"/>
      <c r="B195" s="46"/>
      <c r="C195" s="41"/>
      <c r="D195" s="41"/>
      <c r="E195" s="13"/>
      <c r="F195" s="13"/>
      <c r="G195" s="41"/>
      <c r="H195" s="46"/>
      <c r="I195" s="46"/>
      <c r="J195" s="48"/>
      <c r="K195" s="48"/>
      <c r="L195" s="48"/>
      <c r="M195" s="48"/>
      <c r="N195" s="48"/>
      <c r="O195" s="48"/>
      <c r="P195" s="48"/>
      <c r="Q195" s="125"/>
      <c r="R195" s="52"/>
      <c r="S195" s="52"/>
      <c r="T195" s="48"/>
      <c r="U195" s="215" t="e">
        <f t="shared" si="39"/>
        <v>#DIV/0!</v>
      </c>
      <c r="V195" s="64"/>
      <c r="W195" s="64"/>
      <c r="X195" s="22"/>
      <c r="Y195" s="215" t="e">
        <f t="shared" si="40"/>
        <v>#DIV/0!</v>
      </c>
      <c r="Z195" s="170"/>
      <c r="AA195" s="170"/>
      <c r="AB195" s="51"/>
      <c r="AC195" s="51"/>
      <c r="AD195" s="51"/>
      <c r="AE195" s="51"/>
      <c r="AF195" s="52"/>
      <c r="AG195" s="53"/>
      <c r="AH195" s="53"/>
      <c r="AI195" s="53"/>
      <c r="AJ195" s="53"/>
      <c r="AK195" s="174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120"/>
      <c r="CB195" s="120"/>
      <c r="CK195" s="41"/>
      <c r="CL195" s="42"/>
      <c r="CM195" s="42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</row>
    <row r="196" spans="1:123" hidden="1" outlineLevel="1">
      <c r="A196" s="41"/>
      <c r="B196" s="46"/>
      <c r="C196" s="41"/>
      <c r="D196" s="41"/>
      <c r="E196" s="13"/>
      <c r="F196" s="13"/>
      <c r="G196" s="41"/>
      <c r="H196" s="46"/>
      <c r="I196" s="46"/>
      <c r="J196" s="48"/>
      <c r="K196" s="48"/>
      <c r="L196" s="48"/>
      <c r="M196" s="48"/>
      <c r="N196" s="48"/>
      <c r="O196" s="48"/>
      <c r="P196" s="48"/>
      <c r="Q196" s="125"/>
      <c r="R196" s="52"/>
      <c r="S196" s="52"/>
      <c r="T196" s="48"/>
      <c r="U196" s="215" t="e">
        <f t="shared" si="39"/>
        <v>#DIV/0!</v>
      </c>
      <c r="V196" s="64"/>
      <c r="W196" s="64"/>
      <c r="X196" s="22"/>
      <c r="Y196" s="215" t="e">
        <f t="shared" si="40"/>
        <v>#DIV/0!</v>
      </c>
      <c r="Z196" s="170"/>
      <c r="AA196" s="170"/>
      <c r="AB196" s="51"/>
      <c r="AC196" s="51"/>
      <c r="AD196" s="51"/>
      <c r="AE196" s="51"/>
      <c r="AF196" s="52"/>
      <c r="AG196" s="53"/>
      <c r="AH196" s="53"/>
      <c r="AI196" s="53"/>
      <c r="AJ196" s="53"/>
      <c r="AK196" s="174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120"/>
      <c r="CB196" s="120"/>
      <c r="CK196" s="41"/>
      <c r="CL196" s="42"/>
      <c r="CM196" s="42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</row>
    <row r="197" spans="1:123" hidden="1" outlineLevel="1">
      <c r="A197" s="41"/>
      <c r="B197" s="46"/>
      <c r="C197" s="41"/>
      <c r="D197" s="41"/>
      <c r="E197" s="13"/>
      <c r="F197" s="13"/>
      <c r="G197" s="41"/>
      <c r="H197" s="46"/>
      <c r="I197" s="46"/>
      <c r="J197" s="48"/>
      <c r="K197" s="48"/>
      <c r="L197" s="48"/>
      <c r="M197" s="48"/>
      <c r="N197" s="48"/>
      <c r="O197" s="48"/>
      <c r="P197" s="48"/>
      <c r="Q197" s="125"/>
      <c r="R197" s="52"/>
      <c r="S197" s="52"/>
      <c r="T197" s="48"/>
      <c r="U197" s="215" t="e">
        <f t="shared" si="39"/>
        <v>#DIV/0!</v>
      </c>
      <c r="V197" s="64"/>
      <c r="W197" s="64"/>
      <c r="X197" s="22"/>
      <c r="Y197" s="215" t="e">
        <f t="shared" si="40"/>
        <v>#DIV/0!</v>
      </c>
      <c r="Z197" s="170"/>
      <c r="AA197" s="170"/>
      <c r="AB197" s="51"/>
      <c r="AC197" s="51"/>
      <c r="AD197" s="51"/>
      <c r="AE197" s="51"/>
      <c r="AF197" s="52"/>
      <c r="AG197" s="53"/>
      <c r="AH197" s="53"/>
      <c r="AI197" s="53"/>
      <c r="AJ197" s="53"/>
      <c r="AK197" s="174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120"/>
      <c r="CB197" s="120"/>
      <c r="CK197" s="41"/>
      <c r="CL197" s="42"/>
      <c r="CM197" s="42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</row>
    <row r="198" spans="1:123" hidden="1" outlineLevel="1">
      <c r="A198" s="41"/>
      <c r="B198" s="46"/>
      <c r="C198" s="41"/>
      <c r="D198" s="41"/>
      <c r="E198" s="13"/>
      <c r="F198" s="13"/>
      <c r="G198" s="41"/>
      <c r="H198" s="46"/>
      <c r="I198" s="46"/>
      <c r="J198" s="48"/>
      <c r="K198" s="48"/>
      <c r="L198" s="48"/>
      <c r="M198" s="48"/>
      <c r="N198" s="48"/>
      <c r="O198" s="48"/>
      <c r="P198" s="48"/>
      <c r="Q198" s="125"/>
      <c r="R198" s="52"/>
      <c r="S198" s="52"/>
      <c r="T198" s="48"/>
      <c r="U198" s="215" t="e">
        <f t="shared" si="39"/>
        <v>#DIV/0!</v>
      </c>
      <c r="V198" s="64"/>
      <c r="W198" s="64"/>
      <c r="X198" s="22"/>
      <c r="Y198" s="215" t="e">
        <f t="shared" si="40"/>
        <v>#DIV/0!</v>
      </c>
      <c r="Z198" s="170"/>
      <c r="AA198" s="170"/>
      <c r="AB198" s="51"/>
      <c r="AC198" s="51"/>
      <c r="AD198" s="51"/>
      <c r="AE198" s="51"/>
      <c r="AF198" s="52"/>
      <c r="AG198" s="53"/>
      <c r="AH198" s="53"/>
      <c r="AI198" s="53"/>
      <c r="AJ198" s="53"/>
      <c r="AK198" s="174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120"/>
      <c r="CB198" s="120"/>
      <c r="CK198" s="41"/>
      <c r="CL198" s="42"/>
      <c r="CM198" s="42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</row>
    <row r="199" spans="1:123" hidden="1" outlineLevel="1">
      <c r="A199" s="41"/>
      <c r="B199" s="46"/>
      <c r="C199" s="41"/>
      <c r="D199" s="41"/>
      <c r="E199" s="13"/>
      <c r="F199" s="13"/>
      <c r="G199" s="41"/>
      <c r="H199" s="46"/>
      <c r="I199" s="46"/>
      <c r="J199" s="48"/>
      <c r="K199" s="48"/>
      <c r="L199" s="48"/>
      <c r="M199" s="48"/>
      <c r="N199" s="48"/>
      <c r="O199" s="48"/>
      <c r="P199" s="48"/>
      <c r="Q199" s="125"/>
      <c r="R199" s="52"/>
      <c r="S199" s="52"/>
      <c r="T199" s="48"/>
      <c r="U199" s="215" t="e">
        <f t="shared" si="39"/>
        <v>#DIV/0!</v>
      </c>
      <c r="V199" s="64"/>
      <c r="W199" s="64"/>
      <c r="X199" s="22"/>
      <c r="Y199" s="215" t="e">
        <f t="shared" si="40"/>
        <v>#DIV/0!</v>
      </c>
      <c r="Z199" s="170"/>
      <c r="AA199" s="170"/>
      <c r="AB199" s="51"/>
      <c r="AC199" s="51"/>
      <c r="AD199" s="51"/>
      <c r="AE199" s="51"/>
      <c r="AF199" s="52"/>
      <c r="AG199" s="53"/>
      <c r="AH199" s="53"/>
      <c r="AI199" s="53"/>
      <c r="AJ199" s="53"/>
      <c r="AK199" s="174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120"/>
      <c r="CB199" s="120"/>
      <c r="CK199" s="41"/>
      <c r="CL199" s="42"/>
      <c r="CM199" s="42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</row>
    <row r="200" spans="1:123" hidden="1" outlineLevel="1">
      <c r="A200" s="41"/>
      <c r="B200" s="46"/>
      <c r="C200" s="41"/>
      <c r="D200" s="41"/>
      <c r="E200" s="13"/>
      <c r="F200" s="13"/>
      <c r="G200" s="41"/>
      <c r="H200" s="46"/>
      <c r="I200" s="46"/>
      <c r="J200" s="48"/>
      <c r="K200" s="48"/>
      <c r="L200" s="48"/>
      <c r="M200" s="48"/>
      <c r="N200" s="48"/>
      <c r="O200" s="48"/>
      <c r="P200" s="48"/>
      <c r="Q200" s="125"/>
      <c r="R200" s="52"/>
      <c r="S200" s="52"/>
      <c r="T200" s="48"/>
      <c r="U200" s="215" t="e">
        <f t="shared" ref="U200:U248" si="41">V200/R200</f>
        <v>#DIV/0!</v>
      </c>
      <c r="V200" s="64"/>
      <c r="W200" s="64"/>
      <c r="X200" s="22"/>
      <c r="Y200" s="215" t="e">
        <f t="shared" ref="Y200:Y248" si="42">Z200/R200</f>
        <v>#DIV/0!</v>
      </c>
      <c r="Z200" s="170"/>
      <c r="AA200" s="170"/>
      <c r="AB200" s="51"/>
      <c r="AC200" s="51"/>
      <c r="AD200" s="51"/>
      <c r="AE200" s="51"/>
      <c r="AF200" s="52"/>
      <c r="AG200" s="53"/>
      <c r="AH200" s="53"/>
      <c r="AI200" s="53"/>
      <c r="AJ200" s="53"/>
      <c r="AK200" s="174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120"/>
      <c r="CB200" s="120"/>
      <c r="CK200" s="41"/>
      <c r="CL200" s="42"/>
      <c r="CM200" s="42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</row>
    <row r="201" spans="1:123" hidden="1" outlineLevel="1">
      <c r="A201" s="41"/>
      <c r="B201" s="46"/>
      <c r="C201" s="41"/>
      <c r="D201" s="41"/>
      <c r="E201" s="13"/>
      <c r="F201" s="13"/>
      <c r="G201" s="41"/>
      <c r="H201" s="46"/>
      <c r="I201" s="46"/>
      <c r="J201" s="48"/>
      <c r="K201" s="48"/>
      <c r="L201" s="48"/>
      <c r="M201" s="48"/>
      <c r="N201" s="48"/>
      <c r="O201" s="48"/>
      <c r="P201" s="48"/>
      <c r="Q201" s="125"/>
      <c r="R201" s="52"/>
      <c r="S201" s="52"/>
      <c r="T201" s="48"/>
      <c r="U201" s="215" t="e">
        <f t="shared" si="41"/>
        <v>#DIV/0!</v>
      </c>
      <c r="V201" s="64"/>
      <c r="W201" s="64"/>
      <c r="X201" s="22"/>
      <c r="Y201" s="215" t="e">
        <f t="shared" si="42"/>
        <v>#DIV/0!</v>
      </c>
      <c r="Z201" s="170"/>
      <c r="AA201" s="170"/>
      <c r="AB201" s="51"/>
      <c r="AC201" s="51"/>
      <c r="AD201" s="51"/>
      <c r="AE201" s="51"/>
      <c r="AF201" s="52"/>
      <c r="AG201" s="53"/>
      <c r="AH201" s="53"/>
      <c r="AI201" s="53"/>
      <c r="AJ201" s="53"/>
      <c r="AK201" s="174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120"/>
      <c r="CB201" s="120"/>
      <c r="CK201" s="41"/>
      <c r="CL201" s="42"/>
      <c r="CM201" s="42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</row>
    <row r="202" spans="1:123" hidden="1" outlineLevel="1">
      <c r="A202" s="41"/>
      <c r="B202" s="46"/>
      <c r="C202" s="41"/>
      <c r="D202" s="41"/>
      <c r="E202" s="13"/>
      <c r="F202" s="13"/>
      <c r="G202" s="41"/>
      <c r="H202" s="46"/>
      <c r="I202" s="46"/>
      <c r="J202" s="48"/>
      <c r="K202" s="48"/>
      <c r="L202" s="48"/>
      <c r="M202" s="48"/>
      <c r="N202" s="48"/>
      <c r="O202" s="48"/>
      <c r="P202" s="48"/>
      <c r="Q202" s="125"/>
      <c r="R202" s="52"/>
      <c r="S202" s="52"/>
      <c r="T202" s="48"/>
      <c r="U202" s="215" t="e">
        <f t="shared" si="41"/>
        <v>#DIV/0!</v>
      </c>
      <c r="V202" s="64"/>
      <c r="W202" s="64"/>
      <c r="X202" s="22"/>
      <c r="Y202" s="215" t="e">
        <f t="shared" si="42"/>
        <v>#DIV/0!</v>
      </c>
      <c r="Z202" s="170"/>
      <c r="AA202" s="170"/>
      <c r="AB202" s="51"/>
      <c r="AC202" s="51"/>
      <c r="AD202" s="51"/>
      <c r="AE202" s="51"/>
      <c r="AF202" s="52"/>
      <c r="AG202" s="53"/>
      <c r="AH202" s="53"/>
      <c r="AI202" s="53"/>
      <c r="AJ202" s="53"/>
      <c r="AK202" s="174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120"/>
      <c r="CB202" s="120"/>
      <c r="CK202" s="41"/>
      <c r="CL202" s="42"/>
      <c r="CM202" s="42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</row>
    <row r="203" spans="1:123" hidden="1" outlineLevel="1">
      <c r="A203" s="41"/>
      <c r="B203" s="46"/>
      <c r="C203" s="41"/>
      <c r="D203" s="41"/>
      <c r="E203" s="13"/>
      <c r="F203" s="13"/>
      <c r="G203" s="41"/>
      <c r="H203" s="46"/>
      <c r="I203" s="46"/>
      <c r="J203" s="48"/>
      <c r="K203" s="48"/>
      <c r="L203" s="48"/>
      <c r="M203" s="48"/>
      <c r="N203" s="48"/>
      <c r="O203" s="48"/>
      <c r="P203" s="48"/>
      <c r="Q203" s="125"/>
      <c r="R203" s="52"/>
      <c r="S203" s="52"/>
      <c r="T203" s="48"/>
      <c r="U203" s="215" t="e">
        <f t="shared" si="41"/>
        <v>#DIV/0!</v>
      </c>
      <c r="V203" s="64"/>
      <c r="W203" s="64"/>
      <c r="X203" s="22"/>
      <c r="Y203" s="215" t="e">
        <f t="shared" si="42"/>
        <v>#DIV/0!</v>
      </c>
      <c r="Z203" s="170"/>
      <c r="AA203" s="170"/>
      <c r="AB203" s="51"/>
      <c r="AC203" s="51"/>
      <c r="AD203" s="51"/>
      <c r="AE203" s="51"/>
      <c r="AF203" s="52"/>
      <c r="AG203" s="53"/>
      <c r="AH203" s="53"/>
      <c r="AI203" s="53"/>
      <c r="AJ203" s="53"/>
      <c r="AK203" s="174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120"/>
      <c r="CB203" s="120"/>
      <c r="CK203" s="41"/>
      <c r="CL203" s="42"/>
      <c r="CM203" s="42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</row>
    <row r="204" spans="1:123" hidden="1" outlineLevel="1">
      <c r="A204" s="41"/>
      <c r="B204" s="46"/>
      <c r="C204" s="41"/>
      <c r="D204" s="41"/>
      <c r="E204" s="13"/>
      <c r="F204" s="13"/>
      <c r="G204" s="41"/>
      <c r="H204" s="46"/>
      <c r="I204" s="46"/>
      <c r="J204" s="48"/>
      <c r="K204" s="48"/>
      <c r="L204" s="48"/>
      <c r="M204" s="48"/>
      <c r="N204" s="48"/>
      <c r="O204" s="48"/>
      <c r="P204" s="48"/>
      <c r="Q204" s="125"/>
      <c r="R204" s="52"/>
      <c r="S204" s="52"/>
      <c r="T204" s="48"/>
      <c r="U204" s="215" t="e">
        <f t="shared" si="41"/>
        <v>#DIV/0!</v>
      </c>
      <c r="V204" s="64"/>
      <c r="W204" s="64"/>
      <c r="X204" s="22"/>
      <c r="Y204" s="215" t="e">
        <f t="shared" si="42"/>
        <v>#DIV/0!</v>
      </c>
      <c r="Z204" s="170"/>
      <c r="AA204" s="170"/>
      <c r="AB204" s="51"/>
      <c r="AC204" s="51"/>
      <c r="AD204" s="51"/>
      <c r="AE204" s="51"/>
      <c r="AF204" s="52"/>
      <c r="AG204" s="53"/>
      <c r="AH204" s="53"/>
      <c r="AI204" s="53"/>
      <c r="AJ204" s="53"/>
      <c r="AK204" s="174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120"/>
      <c r="CB204" s="120"/>
      <c r="CK204" s="41"/>
      <c r="CL204" s="42"/>
      <c r="CM204" s="42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</row>
    <row r="205" spans="1:123" hidden="1" outlineLevel="1">
      <c r="A205" s="41"/>
      <c r="B205" s="46"/>
      <c r="C205" s="41"/>
      <c r="D205" s="41"/>
      <c r="E205" s="13"/>
      <c r="F205" s="13"/>
      <c r="G205" s="41"/>
      <c r="H205" s="46"/>
      <c r="I205" s="46"/>
      <c r="J205" s="48"/>
      <c r="K205" s="48"/>
      <c r="L205" s="48"/>
      <c r="M205" s="48"/>
      <c r="N205" s="48"/>
      <c r="O205" s="48"/>
      <c r="P205" s="48"/>
      <c r="Q205" s="125"/>
      <c r="R205" s="52"/>
      <c r="S205" s="52"/>
      <c r="T205" s="48"/>
      <c r="U205" s="215" t="e">
        <f t="shared" si="41"/>
        <v>#DIV/0!</v>
      </c>
      <c r="V205" s="64"/>
      <c r="W205" s="64"/>
      <c r="X205" s="22"/>
      <c r="Y205" s="215" t="e">
        <f t="shared" si="42"/>
        <v>#DIV/0!</v>
      </c>
      <c r="Z205" s="170"/>
      <c r="AA205" s="170"/>
      <c r="AB205" s="51"/>
      <c r="AC205" s="51"/>
      <c r="AD205" s="51"/>
      <c r="AE205" s="51"/>
      <c r="AF205" s="52"/>
      <c r="AG205" s="53"/>
      <c r="AH205" s="53"/>
      <c r="AI205" s="53"/>
      <c r="AJ205" s="53"/>
      <c r="AK205" s="174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120"/>
      <c r="CB205" s="120"/>
      <c r="CK205" s="41"/>
      <c r="CL205" s="42"/>
      <c r="CM205" s="42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</row>
    <row r="206" spans="1:123" hidden="1" outlineLevel="1">
      <c r="A206" s="41"/>
      <c r="B206" s="46"/>
      <c r="C206" s="41"/>
      <c r="D206" s="41"/>
      <c r="E206" s="13"/>
      <c r="F206" s="13"/>
      <c r="G206" s="41"/>
      <c r="H206" s="46"/>
      <c r="I206" s="46"/>
      <c r="J206" s="48"/>
      <c r="K206" s="48"/>
      <c r="L206" s="48"/>
      <c r="M206" s="48"/>
      <c r="N206" s="48"/>
      <c r="O206" s="48"/>
      <c r="P206" s="48"/>
      <c r="Q206" s="125"/>
      <c r="R206" s="52"/>
      <c r="S206" s="52"/>
      <c r="T206" s="48"/>
      <c r="U206" s="215" t="e">
        <f t="shared" si="41"/>
        <v>#DIV/0!</v>
      </c>
      <c r="V206" s="64"/>
      <c r="W206" s="64"/>
      <c r="X206" s="22"/>
      <c r="Y206" s="215" t="e">
        <f t="shared" si="42"/>
        <v>#DIV/0!</v>
      </c>
      <c r="Z206" s="170"/>
      <c r="AA206" s="170"/>
      <c r="AB206" s="51"/>
      <c r="AC206" s="51"/>
      <c r="AD206" s="51"/>
      <c r="AE206" s="51"/>
      <c r="AF206" s="52"/>
      <c r="AG206" s="53"/>
      <c r="AH206" s="53"/>
      <c r="AI206" s="53"/>
      <c r="AJ206" s="53"/>
      <c r="AK206" s="174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120"/>
      <c r="CB206" s="120"/>
      <c r="CK206" s="41"/>
      <c r="CL206" s="42"/>
      <c r="CM206" s="42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</row>
    <row r="207" spans="1:123" hidden="1" outlineLevel="1">
      <c r="A207" s="41"/>
      <c r="B207" s="46"/>
      <c r="C207" s="41"/>
      <c r="D207" s="41"/>
      <c r="E207" s="13"/>
      <c r="F207" s="13"/>
      <c r="G207" s="41"/>
      <c r="H207" s="46"/>
      <c r="I207" s="46"/>
      <c r="J207" s="48"/>
      <c r="K207" s="48"/>
      <c r="L207" s="48"/>
      <c r="M207" s="48"/>
      <c r="N207" s="48"/>
      <c r="O207" s="48"/>
      <c r="P207" s="48"/>
      <c r="Q207" s="125"/>
      <c r="R207" s="52"/>
      <c r="S207" s="52"/>
      <c r="T207" s="48"/>
      <c r="U207" s="215" t="e">
        <f t="shared" si="41"/>
        <v>#DIV/0!</v>
      </c>
      <c r="V207" s="64"/>
      <c r="W207" s="64"/>
      <c r="X207" s="22"/>
      <c r="Y207" s="215" t="e">
        <f t="shared" si="42"/>
        <v>#DIV/0!</v>
      </c>
      <c r="Z207" s="170"/>
      <c r="AA207" s="170"/>
      <c r="AB207" s="51"/>
      <c r="AC207" s="51"/>
      <c r="AD207" s="51"/>
      <c r="AE207" s="51"/>
      <c r="AF207" s="52"/>
      <c r="AG207" s="53"/>
      <c r="AH207" s="53"/>
      <c r="AI207" s="53"/>
      <c r="AJ207" s="53"/>
      <c r="AK207" s="174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120"/>
      <c r="CB207" s="120"/>
      <c r="CK207" s="41"/>
      <c r="CL207" s="42"/>
      <c r="CM207" s="42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</row>
    <row r="208" spans="1:123" hidden="1" outlineLevel="1">
      <c r="A208" s="41"/>
      <c r="B208" s="46"/>
      <c r="C208" s="41"/>
      <c r="D208" s="41"/>
      <c r="E208" s="13"/>
      <c r="F208" s="13"/>
      <c r="G208" s="41"/>
      <c r="H208" s="46"/>
      <c r="I208" s="46"/>
      <c r="J208" s="48"/>
      <c r="K208" s="48"/>
      <c r="L208" s="48"/>
      <c r="M208" s="48"/>
      <c r="N208" s="48"/>
      <c r="O208" s="48"/>
      <c r="P208" s="48"/>
      <c r="Q208" s="125"/>
      <c r="R208" s="52"/>
      <c r="S208" s="52"/>
      <c r="T208" s="48"/>
      <c r="U208" s="215" t="e">
        <f t="shared" si="41"/>
        <v>#DIV/0!</v>
      </c>
      <c r="V208" s="64"/>
      <c r="W208" s="64"/>
      <c r="X208" s="22"/>
      <c r="Y208" s="215" t="e">
        <f t="shared" si="42"/>
        <v>#DIV/0!</v>
      </c>
      <c r="Z208" s="170"/>
      <c r="AA208" s="170"/>
      <c r="AB208" s="51"/>
      <c r="AC208" s="51"/>
      <c r="AD208" s="51"/>
      <c r="AE208" s="51"/>
      <c r="AF208" s="52"/>
      <c r="AG208" s="53"/>
      <c r="AH208" s="53"/>
      <c r="AI208" s="53"/>
      <c r="AJ208" s="53"/>
      <c r="AK208" s="174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120"/>
      <c r="CB208" s="120"/>
      <c r="CK208" s="41"/>
      <c r="CL208" s="42"/>
      <c r="CM208" s="42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1"/>
    </row>
    <row r="209" spans="1:123" hidden="1" outlineLevel="1">
      <c r="A209" s="41"/>
      <c r="B209" s="46"/>
      <c r="C209" s="41"/>
      <c r="D209" s="41"/>
      <c r="E209" s="13"/>
      <c r="F209" s="13"/>
      <c r="G209" s="41"/>
      <c r="H209" s="46"/>
      <c r="I209" s="46"/>
      <c r="J209" s="48"/>
      <c r="K209" s="48"/>
      <c r="L209" s="48"/>
      <c r="M209" s="48"/>
      <c r="N209" s="48"/>
      <c r="O209" s="48"/>
      <c r="P209" s="48"/>
      <c r="Q209" s="125"/>
      <c r="R209" s="52"/>
      <c r="S209" s="52"/>
      <c r="T209" s="48"/>
      <c r="U209" s="215" t="e">
        <f t="shared" si="41"/>
        <v>#DIV/0!</v>
      </c>
      <c r="V209" s="64"/>
      <c r="W209" s="64"/>
      <c r="X209" s="22"/>
      <c r="Y209" s="215" t="e">
        <f t="shared" si="42"/>
        <v>#DIV/0!</v>
      </c>
      <c r="Z209" s="170"/>
      <c r="AA209" s="170"/>
      <c r="AB209" s="51"/>
      <c r="AC209" s="51"/>
      <c r="AD209" s="51"/>
      <c r="AE209" s="51"/>
      <c r="AF209" s="52"/>
      <c r="AG209" s="53"/>
      <c r="AH209" s="53"/>
      <c r="AI209" s="53"/>
      <c r="AJ209" s="53"/>
      <c r="AK209" s="174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120"/>
      <c r="CB209" s="120"/>
      <c r="CK209" s="41"/>
      <c r="CL209" s="42"/>
      <c r="CM209" s="42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</row>
    <row r="210" spans="1:123" hidden="1" outlineLevel="1">
      <c r="A210" s="41"/>
      <c r="B210" s="46"/>
      <c r="C210" s="41"/>
      <c r="D210" s="41"/>
      <c r="E210" s="13"/>
      <c r="F210" s="13"/>
      <c r="G210" s="41"/>
      <c r="H210" s="46"/>
      <c r="I210" s="46"/>
      <c r="J210" s="48"/>
      <c r="K210" s="48"/>
      <c r="L210" s="48"/>
      <c r="M210" s="48"/>
      <c r="N210" s="48"/>
      <c r="O210" s="48"/>
      <c r="P210" s="48"/>
      <c r="Q210" s="125"/>
      <c r="R210" s="52"/>
      <c r="S210" s="52"/>
      <c r="T210" s="48"/>
      <c r="U210" s="215" t="e">
        <f t="shared" si="41"/>
        <v>#DIV/0!</v>
      </c>
      <c r="V210" s="64"/>
      <c r="W210" s="64"/>
      <c r="X210" s="22"/>
      <c r="Y210" s="215" t="e">
        <f t="shared" si="42"/>
        <v>#DIV/0!</v>
      </c>
      <c r="Z210" s="170"/>
      <c r="AA210" s="170"/>
      <c r="AB210" s="51"/>
      <c r="AC210" s="51"/>
      <c r="AD210" s="51"/>
      <c r="AE210" s="51"/>
      <c r="AF210" s="52"/>
      <c r="AG210" s="53"/>
      <c r="AH210" s="53"/>
      <c r="AI210" s="53"/>
      <c r="AJ210" s="53"/>
      <c r="AK210" s="174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120"/>
      <c r="CB210" s="120"/>
      <c r="CK210" s="41"/>
      <c r="CL210" s="42"/>
      <c r="CM210" s="42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</row>
    <row r="211" spans="1:123" hidden="1" outlineLevel="1">
      <c r="A211" s="41"/>
      <c r="B211" s="46"/>
      <c r="C211" s="41"/>
      <c r="D211" s="41"/>
      <c r="E211" s="13"/>
      <c r="F211" s="13"/>
      <c r="G211" s="41"/>
      <c r="H211" s="46"/>
      <c r="I211" s="46"/>
      <c r="J211" s="48"/>
      <c r="K211" s="48"/>
      <c r="L211" s="48"/>
      <c r="M211" s="48"/>
      <c r="N211" s="48"/>
      <c r="O211" s="48"/>
      <c r="P211" s="48"/>
      <c r="Q211" s="125"/>
      <c r="R211" s="52"/>
      <c r="S211" s="52"/>
      <c r="T211" s="48"/>
      <c r="U211" s="215" t="e">
        <f t="shared" si="41"/>
        <v>#DIV/0!</v>
      </c>
      <c r="V211" s="64"/>
      <c r="W211" s="64"/>
      <c r="X211" s="22"/>
      <c r="Y211" s="215" t="e">
        <f t="shared" si="42"/>
        <v>#DIV/0!</v>
      </c>
      <c r="Z211" s="170"/>
      <c r="AA211" s="170"/>
      <c r="AB211" s="51"/>
      <c r="AC211" s="51"/>
      <c r="AD211" s="51"/>
      <c r="AE211" s="51"/>
      <c r="AF211" s="52"/>
      <c r="AG211" s="53"/>
      <c r="AH211" s="53"/>
      <c r="AI211" s="53"/>
      <c r="AJ211" s="53"/>
      <c r="AK211" s="174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120"/>
      <c r="CB211" s="120"/>
      <c r="CK211" s="41"/>
      <c r="CL211" s="42"/>
      <c r="CM211" s="42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</row>
    <row r="212" spans="1:123" hidden="1" outlineLevel="1">
      <c r="A212" s="41"/>
      <c r="B212" s="46"/>
      <c r="C212" s="41"/>
      <c r="D212" s="41"/>
      <c r="E212" s="13"/>
      <c r="F212" s="13"/>
      <c r="G212" s="41"/>
      <c r="H212" s="46"/>
      <c r="I212" s="46"/>
      <c r="J212" s="48"/>
      <c r="K212" s="48"/>
      <c r="L212" s="48"/>
      <c r="M212" s="48"/>
      <c r="N212" s="48"/>
      <c r="O212" s="48"/>
      <c r="P212" s="48"/>
      <c r="Q212" s="125"/>
      <c r="R212" s="52"/>
      <c r="S212" s="52"/>
      <c r="T212" s="48"/>
      <c r="U212" s="215" t="e">
        <f t="shared" si="41"/>
        <v>#DIV/0!</v>
      </c>
      <c r="V212" s="64"/>
      <c r="W212" s="64"/>
      <c r="X212" s="22"/>
      <c r="Y212" s="215" t="e">
        <f t="shared" si="42"/>
        <v>#DIV/0!</v>
      </c>
      <c r="Z212" s="170"/>
      <c r="AA212" s="170"/>
      <c r="AB212" s="51"/>
      <c r="AC212" s="51"/>
      <c r="AD212" s="51"/>
      <c r="AE212" s="51"/>
      <c r="AF212" s="52"/>
      <c r="AG212" s="53"/>
      <c r="AH212" s="53"/>
      <c r="AI212" s="53"/>
      <c r="AJ212" s="53"/>
      <c r="AK212" s="174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120"/>
      <c r="CB212" s="120"/>
      <c r="CK212" s="41"/>
      <c r="CL212" s="42"/>
      <c r="CM212" s="42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</row>
    <row r="213" spans="1:123" hidden="1" outlineLevel="1">
      <c r="A213" s="41"/>
      <c r="B213" s="46"/>
      <c r="C213" s="41"/>
      <c r="D213" s="41"/>
      <c r="E213" s="13"/>
      <c r="F213" s="13"/>
      <c r="G213" s="41"/>
      <c r="H213" s="46"/>
      <c r="I213" s="46"/>
      <c r="J213" s="48"/>
      <c r="K213" s="48"/>
      <c r="L213" s="48"/>
      <c r="M213" s="48"/>
      <c r="N213" s="48"/>
      <c r="O213" s="48"/>
      <c r="P213" s="48"/>
      <c r="Q213" s="125"/>
      <c r="R213" s="52"/>
      <c r="S213" s="52"/>
      <c r="T213" s="48"/>
      <c r="U213" s="215" t="e">
        <f t="shared" si="41"/>
        <v>#DIV/0!</v>
      </c>
      <c r="V213" s="64"/>
      <c r="W213" s="64"/>
      <c r="X213" s="22"/>
      <c r="Y213" s="215" t="e">
        <f t="shared" si="42"/>
        <v>#DIV/0!</v>
      </c>
      <c r="Z213" s="170"/>
      <c r="AA213" s="170"/>
      <c r="AB213" s="51"/>
      <c r="AC213" s="51"/>
      <c r="AD213" s="51"/>
      <c r="AE213" s="51"/>
      <c r="AF213" s="52"/>
      <c r="AG213" s="53"/>
      <c r="AH213" s="53"/>
      <c r="AI213" s="53"/>
      <c r="AJ213" s="53"/>
      <c r="AK213" s="174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120"/>
      <c r="CB213" s="120"/>
      <c r="CK213" s="41"/>
      <c r="CL213" s="42"/>
      <c r="CM213" s="42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</row>
    <row r="214" spans="1:123" hidden="1" outlineLevel="1">
      <c r="A214" s="41"/>
      <c r="B214" s="46"/>
      <c r="C214" s="41"/>
      <c r="D214" s="41"/>
      <c r="E214" s="13"/>
      <c r="F214" s="13"/>
      <c r="G214" s="41"/>
      <c r="H214" s="46"/>
      <c r="I214" s="46"/>
      <c r="J214" s="48"/>
      <c r="K214" s="48"/>
      <c r="L214" s="48"/>
      <c r="M214" s="48"/>
      <c r="N214" s="48"/>
      <c r="O214" s="48"/>
      <c r="P214" s="48"/>
      <c r="Q214" s="125"/>
      <c r="R214" s="52"/>
      <c r="S214" s="52"/>
      <c r="T214" s="48"/>
      <c r="U214" s="215" t="e">
        <f t="shared" si="41"/>
        <v>#DIV/0!</v>
      </c>
      <c r="V214" s="64"/>
      <c r="W214" s="64"/>
      <c r="X214" s="22"/>
      <c r="Y214" s="215" t="e">
        <f t="shared" si="42"/>
        <v>#DIV/0!</v>
      </c>
      <c r="Z214" s="170"/>
      <c r="AA214" s="170"/>
      <c r="AB214" s="51"/>
      <c r="AC214" s="51"/>
      <c r="AD214" s="51"/>
      <c r="AE214" s="51"/>
      <c r="AF214" s="52"/>
      <c r="AG214" s="53"/>
      <c r="AH214" s="53"/>
      <c r="AI214" s="53"/>
      <c r="AJ214" s="53"/>
      <c r="AK214" s="174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120"/>
      <c r="CB214" s="120"/>
      <c r="CK214" s="41"/>
      <c r="CL214" s="42"/>
      <c r="CM214" s="42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</row>
    <row r="215" spans="1:123" hidden="1" outlineLevel="1">
      <c r="A215" s="41"/>
      <c r="B215" s="46"/>
      <c r="C215" s="41"/>
      <c r="D215" s="41"/>
      <c r="E215" s="13"/>
      <c r="F215" s="13"/>
      <c r="G215" s="41"/>
      <c r="H215" s="46"/>
      <c r="I215" s="46"/>
      <c r="J215" s="48"/>
      <c r="K215" s="48"/>
      <c r="L215" s="48"/>
      <c r="M215" s="48"/>
      <c r="N215" s="48"/>
      <c r="O215" s="48"/>
      <c r="P215" s="48"/>
      <c r="Q215" s="125"/>
      <c r="R215" s="52"/>
      <c r="S215" s="52"/>
      <c r="T215" s="48"/>
      <c r="U215" s="215" t="e">
        <f t="shared" si="41"/>
        <v>#DIV/0!</v>
      </c>
      <c r="V215" s="64"/>
      <c r="W215" s="64"/>
      <c r="X215" s="22"/>
      <c r="Y215" s="215" t="e">
        <f t="shared" si="42"/>
        <v>#DIV/0!</v>
      </c>
      <c r="Z215" s="170"/>
      <c r="AA215" s="170"/>
      <c r="AB215" s="51"/>
      <c r="AC215" s="51"/>
      <c r="AD215" s="51"/>
      <c r="AE215" s="51"/>
      <c r="AF215" s="52"/>
      <c r="AG215" s="53"/>
      <c r="AH215" s="53"/>
      <c r="AI215" s="53"/>
      <c r="AJ215" s="53"/>
      <c r="AK215" s="174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120"/>
      <c r="CB215" s="120"/>
      <c r="CK215" s="41"/>
      <c r="CL215" s="42"/>
      <c r="CM215" s="42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</row>
    <row r="216" spans="1:123" hidden="1" outlineLevel="1">
      <c r="A216" s="41"/>
      <c r="B216" s="46"/>
      <c r="C216" s="41"/>
      <c r="D216" s="41"/>
      <c r="E216" s="13"/>
      <c r="F216" s="13"/>
      <c r="G216" s="41"/>
      <c r="H216" s="46"/>
      <c r="I216" s="46"/>
      <c r="J216" s="48"/>
      <c r="K216" s="48"/>
      <c r="L216" s="48"/>
      <c r="M216" s="48"/>
      <c r="N216" s="48"/>
      <c r="O216" s="48"/>
      <c r="P216" s="48"/>
      <c r="Q216" s="125"/>
      <c r="R216" s="52"/>
      <c r="S216" s="52"/>
      <c r="T216" s="48"/>
      <c r="U216" s="215" t="e">
        <f t="shared" si="41"/>
        <v>#DIV/0!</v>
      </c>
      <c r="V216" s="64"/>
      <c r="W216" s="64"/>
      <c r="X216" s="22"/>
      <c r="Y216" s="215" t="e">
        <f t="shared" si="42"/>
        <v>#DIV/0!</v>
      </c>
      <c r="Z216" s="170"/>
      <c r="AA216" s="170"/>
      <c r="AB216" s="51"/>
      <c r="AC216" s="51"/>
      <c r="AD216" s="51"/>
      <c r="AE216" s="51"/>
      <c r="AF216" s="52"/>
      <c r="AG216" s="53"/>
      <c r="AH216" s="53"/>
      <c r="AI216" s="53"/>
      <c r="AJ216" s="53"/>
      <c r="AK216" s="174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120"/>
      <c r="CB216" s="120"/>
      <c r="CK216" s="41"/>
      <c r="CL216" s="42"/>
      <c r="CM216" s="42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</row>
    <row r="217" spans="1:123" hidden="1" outlineLevel="1">
      <c r="A217" s="41"/>
      <c r="B217" s="46"/>
      <c r="C217" s="41"/>
      <c r="D217" s="41"/>
      <c r="E217" s="13"/>
      <c r="F217" s="13"/>
      <c r="G217" s="41"/>
      <c r="H217" s="46"/>
      <c r="I217" s="46"/>
      <c r="J217" s="48"/>
      <c r="K217" s="48"/>
      <c r="L217" s="48"/>
      <c r="M217" s="48"/>
      <c r="N217" s="48"/>
      <c r="O217" s="48"/>
      <c r="P217" s="48"/>
      <c r="Q217" s="125"/>
      <c r="R217" s="52"/>
      <c r="S217" s="52"/>
      <c r="T217" s="48"/>
      <c r="U217" s="215" t="e">
        <f t="shared" si="41"/>
        <v>#DIV/0!</v>
      </c>
      <c r="V217" s="64"/>
      <c r="W217" s="64"/>
      <c r="X217" s="22"/>
      <c r="Y217" s="215" t="e">
        <f t="shared" si="42"/>
        <v>#DIV/0!</v>
      </c>
      <c r="Z217" s="170"/>
      <c r="AA217" s="170"/>
      <c r="AB217" s="51"/>
      <c r="AC217" s="51"/>
      <c r="AD217" s="51"/>
      <c r="AE217" s="51"/>
      <c r="AF217" s="52"/>
      <c r="AG217" s="53"/>
      <c r="AH217" s="53"/>
      <c r="AI217" s="53"/>
      <c r="AJ217" s="53"/>
      <c r="AK217" s="174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120"/>
      <c r="CB217" s="120"/>
      <c r="CK217" s="41"/>
      <c r="CL217" s="42"/>
      <c r="CM217" s="42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</row>
    <row r="218" spans="1:123" hidden="1" outlineLevel="1">
      <c r="A218" s="41"/>
      <c r="B218" s="46"/>
      <c r="C218" s="41"/>
      <c r="D218" s="41"/>
      <c r="E218" s="13"/>
      <c r="F218" s="13"/>
      <c r="G218" s="41"/>
      <c r="H218" s="46"/>
      <c r="I218" s="46"/>
      <c r="J218" s="48"/>
      <c r="K218" s="48"/>
      <c r="L218" s="48"/>
      <c r="M218" s="48"/>
      <c r="N218" s="48"/>
      <c r="O218" s="48"/>
      <c r="P218" s="48"/>
      <c r="Q218" s="125"/>
      <c r="R218" s="52"/>
      <c r="S218" s="52"/>
      <c r="T218" s="48"/>
      <c r="U218" s="215" t="e">
        <f t="shared" si="41"/>
        <v>#DIV/0!</v>
      </c>
      <c r="V218" s="64"/>
      <c r="W218" s="64"/>
      <c r="X218" s="22"/>
      <c r="Y218" s="215" t="e">
        <f t="shared" si="42"/>
        <v>#DIV/0!</v>
      </c>
      <c r="Z218" s="170"/>
      <c r="AA218" s="170"/>
      <c r="AB218" s="51"/>
      <c r="AC218" s="51"/>
      <c r="AD218" s="51"/>
      <c r="AE218" s="51"/>
      <c r="AF218" s="52"/>
      <c r="AG218" s="53"/>
      <c r="AH218" s="53"/>
      <c r="AI218" s="53"/>
      <c r="AJ218" s="53"/>
      <c r="AK218" s="174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120"/>
      <c r="CB218" s="120"/>
      <c r="CK218" s="41"/>
      <c r="CL218" s="42"/>
      <c r="CM218" s="42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</row>
    <row r="219" spans="1:123" hidden="1" outlineLevel="1">
      <c r="A219" s="41"/>
      <c r="B219" s="46"/>
      <c r="C219" s="41"/>
      <c r="D219" s="41"/>
      <c r="E219" s="13"/>
      <c r="F219" s="13"/>
      <c r="G219" s="41"/>
      <c r="H219" s="46"/>
      <c r="I219" s="46"/>
      <c r="J219" s="48"/>
      <c r="K219" s="48"/>
      <c r="L219" s="48"/>
      <c r="M219" s="48"/>
      <c r="N219" s="48"/>
      <c r="O219" s="48"/>
      <c r="P219" s="48"/>
      <c r="Q219" s="125"/>
      <c r="R219" s="52"/>
      <c r="S219" s="52"/>
      <c r="T219" s="48"/>
      <c r="U219" s="215" t="e">
        <f t="shared" si="41"/>
        <v>#DIV/0!</v>
      </c>
      <c r="V219" s="64"/>
      <c r="W219" s="64"/>
      <c r="X219" s="22"/>
      <c r="Y219" s="215" t="e">
        <f t="shared" si="42"/>
        <v>#DIV/0!</v>
      </c>
      <c r="Z219" s="170"/>
      <c r="AA219" s="170"/>
      <c r="AB219" s="51"/>
      <c r="AC219" s="51"/>
      <c r="AD219" s="51"/>
      <c r="AE219" s="51"/>
      <c r="AF219" s="52"/>
      <c r="AG219" s="53"/>
      <c r="AH219" s="53"/>
      <c r="AI219" s="53"/>
      <c r="AJ219" s="53"/>
      <c r="AK219" s="174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120"/>
      <c r="CB219" s="120"/>
      <c r="CK219" s="41"/>
      <c r="CL219" s="42"/>
      <c r="CM219" s="42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</row>
    <row r="220" spans="1:123" hidden="1" outlineLevel="1">
      <c r="A220" s="41"/>
      <c r="B220" s="46"/>
      <c r="C220" s="41"/>
      <c r="D220" s="41"/>
      <c r="E220" s="13"/>
      <c r="F220" s="13"/>
      <c r="G220" s="41"/>
      <c r="H220" s="46"/>
      <c r="I220" s="46"/>
      <c r="J220" s="48"/>
      <c r="K220" s="48"/>
      <c r="L220" s="48"/>
      <c r="M220" s="48"/>
      <c r="N220" s="48"/>
      <c r="O220" s="48"/>
      <c r="P220" s="48"/>
      <c r="Q220" s="125"/>
      <c r="R220" s="52"/>
      <c r="S220" s="52"/>
      <c r="T220" s="48"/>
      <c r="U220" s="215" t="e">
        <f t="shared" si="41"/>
        <v>#DIV/0!</v>
      </c>
      <c r="V220" s="64"/>
      <c r="W220" s="64"/>
      <c r="X220" s="22"/>
      <c r="Y220" s="215" t="e">
        <f t="shared" si="42"/>
        <v>#DIV/0!</v>
      </c>
      <c r="Z220" s="170"/>
      <c r="AA220" s="170"/>
      <c r="AB220" s="51"/>
      <c r="AC220" s="51"/>
      <c r="AD220" s="51"/>
      <c r="AE220" s="51"/>
      <c r="AF220" s="52"/>
      <c r="AG220" s="53"/>
      <c r="AH220" s="53"/>
      <c r="AI220" s="53"/>
      <c r="AJ220" s="53"/>
      <c r="AK220" s="174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120"/>
      <c r="CB220" s="120"/>
      <c r="CK220" s="41"/>
      <c r="CL220" s="42"/>
      <c r="CM220" s="42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</row>
    <row r="221" spans="1:123" hidden="1" outlineLevel="1">
      <c r="A221" s="41"/>
      <c r="B221" s="46"/>
      <c r="C221" s="41"/>
      <c r="D221" s="41"/>
      <c r="E221" s="13"/>
      <c r="F221" s="13"/>
      <c r="G221" s="41"/>
      <c r="H221" s="46"/>
      <c r="I221" s="46"/>
      <c r="J221" s="48"/>
      <c r="K221" s="48"/>
      <c r="L221" s="48"/>
      <c r="M221" s="48"/>
      <c r="N221" s="48"/>
      <c r="O221" s="48"/>
      <c r="P221" s="48"/>
      <c r="Q221" s="125"/>
      <c r="R221" s="52"/>
      <c r="S221" s="52"/>
      <c r="T221" s="48"/>
      <c r="U221" s="215" t="e">
        <f t="shared" si="41"/>
        <v>#DIV/0!</v>
      </c>
      <c r="V221" s="64"/>
      <c r="W221" s="64"/>
      <c r="X221" s="22"/>
      <c r="Y221" s="215" t="e">
        <f t="shared" si="42"/>
        <v>#DIV/0!</v>
      </c>
      <c r="Z221" s="170"/>
      <c r="AA221" s="170"/>
      <c r="AB221" s="51"/>
      <c r="AC221" s="51"/>
      <c r="AD221" s="51"/>
      <c r="AE221" s="51"/>
      <c r="AF221" s="52"/>
      <c r="AG221" s="53"/>
      <c r="AH221" s="53"/>
      <c r="AI221" s="53"/>
      <c r="AJ221" s="53"/>
      <c r="AK221" s="174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120"/>
      <c r="CB221" s="120"/>
      <c r="CK221" s="41"/>
      <c r="CL221" s="42"/>
      <c r="CM221" s="42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</row>
    <row r="222" spans="1:123" hidden="1" outlineLevel="1">
      <c r="A222" s="41"/>
      <c r="B222" s="46"/>
      <c r="C222" s="41"/>
      <c r="D222" s="41"/>
      <c r="E222" s="13"/>
      <c r="F222" s="13"/>
      <c r="G222" s="41"/>
      <c r="H222" s="46"/>
      <c r="I222" s="46"/>
      <c r="J222" s="48"/>
      <c r="K222" s="48"/>
      <c r="L222" s="48"/>
      <c r="M222" s="48"/>
      <c r="N222" s="48"/>
      <c r="O222" s="48"/>
      <c r="P222" s="48"/>
      <c r="Q222" s="125"/>
      <c r="R222" s="52"/>
      <c r="S222" s="52"/>
      <c r="T222" s="48"/>
      <c r="U222" s="215" t="e">
        <f t="shared" si="41"/>
        <v>#DIV/0!</v>
      </c>
      <c r="V222" s="64"/>
      <c r="W222" s="64"/>
      <c r="X222" s="22"/>
      <c r="Y222" s="215" t="e">
        <f t="shared" si="42"/>
        <v>#DIV/0!</v>
      </c>
      <c r="Z222" s="170"/>
      <c r="AA222" s="170"/>
      <c r="AB222" s="51"/>
      <c r="AC222" s="51"/>
      <c r="AD222" s="51"/>
      <c r="AE222" s="51"/>
      <c r="AF222" s="52"/>
      <c r="AG222" s="53"/>
      <c r="AH222" s="53"/>
      <c r="AI222" s="53"/>
      <c r="AJ222" s="53"/>
      <c r="AK222" s="174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120"/>
      <c r="CB222" s="120"/>
      <c r="CK222" s="41"/>
      <c r="CL222" s="42"/>
      <c r="CM222" s="42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</row>
    <row r="223" spans="1:123" hidden="1" outlineLevel="1">
      <c r="A223" s="41"/>
      <c r="B223" s="46"/>
      <c r="C223" s="41"/>
      <c r="D223" s="41"/>
      <c r="E223" s="13"/>
      <c r="F223" s="13"/>
      <c r="G223" s="41"/>
      <c r="H223" s="46"/>
      <c r="I223" s="46"/>
      <c r="J223" s="48"/>
      <c r="K223" s="48"/>
      <c r="L223" s="48"/>
      <c r="M223" s="48"/>
      <c r="N223" s="48"/>
      <c r="O223" s="48"/>
      <c r="P223" s="48"/>
      <c r="Q223" s="125"/>
      <c r="R223" s="52"/>
      <c r="S223" s="52"/>
      <c r="T223" s="48"/>
      <c r="U223" s="215" t="e">
        <f t="shared" si="41"/>
        <v>#DIV/0!</v>
      </c>
      <c r="V223" s="64"/>
      <c r="W223" s="64"/>
      <c r="X223" s="22"/>
      <c r="Y223" s="215" t="e">
        <f t="shared" si="42"/>
        <v>#DIV/0!</v>
      </c>
      <c r="Z223" s="170"/>
      <c r="AA223" s="170"/>
      <c r="AB223" s="51"/>
      <c r="AC223" s="51"/>
      <c r="AD223" s="51"/>
      <c r="AE223" s="51"/>
      <c r="AF223" s="52"/>
      <c r="AG223" s="53"/>
      <c r="AH223" s="53"/>
      <c r="AI223" s="53"/>
      <c r="AJ223" s="53"/>
      <c r="AK223" s="174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120"/>
      <c r="CB223" s="120"/>
      <c r="CK223" s="41"/>
      <c r="CL223" s="42"/>
      <c r="CM223" s="42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</row>
    <row r="224" spans="1:123" hidden="1" outlineLevel="1">
      <c r="A224" s="41"/>
      <c r="B224" s="46"/>
      <c r="C224" s="41"/>
      <c r="D224" s="41"/>
      <c r="E224" s="13"/>
      <c r="F224" s="13"/>
      <c r="G224" s="41"/>
      <c r="H224" s="46"/>
      <c r="I224" s="46"/>
      <c r="J224" s="48"/>
      <c r="K224" s="48"/>
      <c r="L224" s="48"/>
      <c r="M224" s="48"/>
      <c r="N224" s="48"/>
      <c r="O224" s="48"/>
      <c r="P224" s="48"/>
      <c r="Q224" s="125"/>
      <c r="R224" s="52"/>
      <c r="S224" s="52"/>
      <c r="T224" s="48"/>
      <c r="U224" s="215" t="e">
        <f t="shared" si="41"/>
        <v>#DIV/0!</v>
      </c>
      <c r="V224" s="64"/>
      <c r="W224" s="64"/>
      <c r="X224" s="22"/>
      <c r="Y224" s="215" t="e">
        <f t="shared" si="42"/>
        <v>#DIV/0!</v>
      </c>
      <c r="Z224" s="170"/>
      <c r="AA224" s="170"/>
      <c r="AB224" s="51"/>
      <c r="AC224" s="51"/>
      <c r="AD224" s="51"/>
      <c r="AE224" s="51"/>
      <c r="AF224" s="52"/>
      <c r="AG224" s="53"/>
      <c r="AH224" s="53"/>
      <c r="AI224" s="53"/>
      <c r="AJ224" s="53"/>
      <c r="AK224" s="174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120"/>
      <c r="CB224" s="120"/>
      <c r="CK224" s="41"/>
      <c r="CL224" s="42"/>
      <c r="CM224" s="42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</row>
    <row r="225" spans="1:123" hidden="1" outlineLevel="1">
      <c r="A225" s="41"/>
      <c r="B225" s="46"/>
      <c r="C225" s="41"/>
      <c r="D225" s="41"/>
      <c r="E225" s="13"/>
      <c r="F225" s="13"/>
      <c r="G225" s="41"/>
      <c r="H225" s="46"/>
      <c r="I225" s="46"/>
      <c r="J225" s="48"/>
      <c r="K225" s="48"/>
      <c r="L225" s="48"/>
      <c r="M225" s="48"/>
      <c r="N225" s="48"/>
      <c r="O225" s="48"/>
      <c r="P225" s="48"/>
      <c r="Q225" s="125"/>
      <c r="R225" s="52"/>
      <c r="S225" s="52"/>
      <c r="T225" s="48"/>
      <c r="U225" s="215" t="e">
        <f t="shared" si="41"/>
        <v>#DIV/0!</v>
      </c>
      <c r="V225" s="64"/>
      <c r="W225" s="64"/>
      <c r="X225" s="22"/>
      <c r="Y225" s="215" t="e">
        <f t="shared" si="42"/>
        <v>#DIV/0!</v>
      </c>
      <c r="Z225" s="170"/>
      <c r="AA225" s="170"/>
      <c r="AB225" s="51"/>
      <c r="AC225" s="51"/>
      <c r="AD225" s="51"/>
      <c r="AE225" s="51"/>
      <c r="AF225" s="52"/>
      <c r="AG225" s="53"/>
      <c r="AH225" s="53"/>
      <c r="AI225" s="53"/>
      <c r="AJ225" s="53"/>
      <c r="AK225" s="174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120"/>
      <c r="CB225" s="120"/>
      <c r="CK225" s="41"/>
      <c r="CL225" s="42"/>
      <c r="CM225" s="42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</row>
    <row r="226" spans="1:123" hidden="1" outlineLevel="1">
      <c r="A226" s="41"/>
      <c r="B226" s="46"/>
      <c r="C226" s="41"/>
      <c r="D226" s="41"/>
      <c r="E226" s="13"/>
      <c r="F226" s="13"/>
      <c r="G226" s="41"/>
      <c r="H226" s="46"/>
      <c r="I226" s="46"/>
      <c r="J226" s="48"/>
      <c r="K226" s="48"/>
      <c r="L226" s="48"/>
      <c r="M226" s="48"/>
      <c r="N226" s="48"/>
      <c r="O226" s="48"/>
      <c r="P226" s="48"/>
      <c r="Q226" s="125"/>
      <c r="R226" s="52"/>
      <c r="S226" s="52"/>
      <c r="T226" s="48"/>
      <c r="U226" s="215" t="e">
        <f t="shared" si="41"/>
        <v>#DIV/0!</v>
      </c>
      <c r="V226" s="64"/>
      <c r="W226" s="64"/>
      <c r="X226" s="22"/>
      <c r="Y226" s="215" t="e">
        <f t="shared" si="42"/>
        <v>#DIV/0!</v>
      </c>
      <c r="Z226" s="170"/>
      <c r="AA226" s="170"/>
      <c r="AB226" s="51"/>
      <c r="AC226" s="51"/>
      <c r="AD226" s="51"/>
      <c r="AE226" s="51"/>
      <c r="AF226" s="52"/>
      <c r="AG226" s="53"/>
      <c r="AH226" s="53"/>
      <c r="AI226" s="53"/>
      <c r="AJ226" s="53"/>
      <c r="AK226" s="174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120"/>
      <c r="CB226" s="120"/>
      <c r="CK226" s="41"/>
      <c r="CL226" s="42"/>
      <c r="CM226" s="42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</row>
    <row r="227" spans="1:123" hidden="1" outlineLevel="1">
      <c r="A227" s="41"/>
      <c r="B227" s="46"/>
      <c r="C227" s="41"/>
      <c r="D227" s="41"/>
      <c r="E227" s="13"/>
      <c r="F227" s="13"/>
      <c r="G227" s="41"/>
      <c r="H227" s="46"/>
      <c r="I227" s="46"/>
      <c r="J227" s="48"/>
      <c r="K227" s="48"/>
      <c r="L227" s="48"/>
      <c r="M227" s="48"/>
      <c r="N227" s="48"/>
      <c r="O227" s="48"/>
      <c r="P227" s="48"/>
      <c r="Q227" s="125"/>
      <c r="R227" s="52"/>
      <c r="S227" s="52"/>
      <c r="T227" s="48"/>
      <c r="U227" s="215" t="e">
        <f t="shared" si="41"/>
        <v>#DIV/0!</v>
      </c>
      <c r="V227" s="64"/>
      <c r="W227" s="64"/>
      <c r="X227" s="22"/>
      <c r="Y227" s="215" t="e">
        <f t="shared" si="42"/>
        <v>#DIV/0!</v>
      </c>
      <c r="Z227" s="170"/>
      <c r="AA227" s="170"/>
      <c r="AB227" s="51"/>
      <c r="AC227" s="51"/>
      <c r="AD227" s="51"/>
      <c r="AE227" s="51"/>
      <c r="AF227" s="52"/>
      <c r="AG227" s="53"/>
      <c r="AH227" s="53"/>
      <c r="AI227" s="53"/>
      <c r="AJ227" s="53"/>
      <c r="AK227" s="174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120"/>
      <c r="CB227" s="120"/>
      <c r="CK227" s="41"/>
      <c r="CL227" s="42"/>
      <c r="CM227" s="42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</row>
    <row r="228" spans="1:123" hidden="1" outlineLevel="1">
      <c r="A228" s="41"/>
      <c r="B228" s="46"/>
      <c r="C228" s="41"/>
      <c r="D228" s="41"/>
      <c r="E228" s="13"/>
      <c r="F228" s="13"/>
      <c r="G228" s="41"/>
      <c r="H228" s="46"/>
      <c r="I228" s="46"/>
      <c r="J228" s="48"/>
      <c r="K228" s="48"/>
      <c r="L228" s="48"/>
      <c r="M228" s="48"/>
      <c r="N228" s="48"/>
      <c r="O228" s="48"/>
      <c r="P228" s="48"/>
      <c r="Q228" s="125"/>
      <c r="R228" s="52"/>
      <c r="S228" s="52"/>
      <c r="T228" s="48"/>
      <c r="U228" s="215" t="e">
        <f t="shared" si="41"/>
        <v>#DIV/0!</v>
      </c>
      <c r="V228" s="64"/>
      <c r="W228" s="64"/>
      <c r="X228" s="22"/>
      <c r="Y228" s="215" t="e">
        <f t="shared" si="42"/>
        <v>#DIV/0!</v>
      </c>
      <c r="Z228" s="170"/>
      <c r="AA228" s="170"/>
      <c r="AB228" s="51"/>
      <c r="AC228" s="51"/>
      <c r="AD228" s="51"/>
      <c r="AE228" s="51"/>
      <c r="AF228" s="52"/>
      <c r="AG228" s="53"/>
      <c r="AH228" s="53"/>
      <c r="AI228" s="53"/>
      <c r="AJ228" s="53"/>
      <c r="AK228" s="174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120"/>
      <c r="CB228" s="120"/>
      <c r="CK228" s="41"/>
      <c r="CL228" s="42"/>
      <c r="CM228" s="42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</row>
    <row r="229" spans="1:123" hidden="1" outlineLevel="1">
      <c r="A229" s="41"/>
      <c r="B229" s="46"/>
      <c r="C229" s="41"/>
      <c r="D229" s="41"/>
      <c r="E229" s="13"/>
      <c r="F229" s="13"/>
      <c r="G229" s="41"/>
      <c r="H229" s="46"/>
      <c r="I229" s="46"/>
      <c r="J229" s="48"/>
      <c r="K229" s="48"/>
      <c r="L229" s="48"/>
      <c r="M229" s="48"/>
      <c r="N229" s="48"/>
      <c r="O229" s="48"/>
      <c r="P229" s="48"/>
      <c r="Q229" s="125"/>
      <c r="R229" s="52"/>
      <c r="S229" s="52"/>
      <c r="T229" s="48"/>
      <c r="U229" s="215" t="e">
        <f t="shared" si="41"/>
        <v>#DIV/0!</v>
      </c>
      <c r="V229" s="64"/>
      <c r="W229" s="64"/>
      <c r="X229" s="22"/>
      <c r="Y229" s="215" t="e">
        <f t="shared" si="42"/>
        <v>#DIV/0!</v>
      </c>
      <c r="Z229" s="170"/>
      <c r="AA229" s="170"/>
      <c r="AB229" s="51"/>
      <c r="AC229" s="51"/>
      <c r="AD229" s="51"/>
      <c r="AE229" s="51"/>
      <c r="AF229" s="52"/>
      <c r="AG229" s="53"/>
      <c r="AH229" s="53"/>
      <c r="AI229" s="53"/>
      <c r="AJ229" s="53"/>
      <c r="AK229" s="174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120"/>
      <c r="CB229" s="120"/>
      <c r="CK229" s="41"/>
      <c r="CL229" s="42"/>
      <c r="CM229" s="42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</row>
    <row r="230" spans="1:123" hidden="1" outlineLevel="1">
      <c r="A230" s="41"/>
      <c r="B230" s="46"/>
      <c r="C230" s="41"/>
      <c r="D230" s="41"/>
      <c r="E230" s="13"/>
      <c r="F230" s="13"/>
      <c r="G230" s="41"/>
      <c r="H230" s="46"/>
      <c r="I230" s="46"/>
      <c r="J230" s="48"/>
      <c r="K230" s="48"/>
      <c r="L230" s="48"/>
      <c r="M230" s="48"/>
      <c r="N230" s="48"/>
      <c r="O230" s="48"/>
      <c r="P230" s="48"/>
      <c r="Q230" s="125"/>
      <c r="R230" s="52"/>
      <c r="S230" s="52"/>
      <c r="T230" s="48"/>
      <c r="U230" s="215" t="e">
        <f t="shared" si="41"/>
        <v>#DIV/0!</v>
      </c>
      <c r="V230" s="64"/>
      <c r="W230" s="64"/>
      <c r="X230" s="22"/>
      <c r="Y230" s="215" t="e">
        <f t="shared" si="42"/>
        <v>#DIV/0!</v>
      </c>
      <c r="Z230" s="170"/>
      <c r="AA230" s="170"/>
      <c r="AB230" s="51"/>
      <c r="AC230" s="51"/>
      <c r="AD230" s="51"/>
      <c r="AE230" s="51"/>
      <c r="AF230" s="52"/>
      <c r="AG230" s="53"/>
      <c r="AH230" s="53"/>
      <c r="AI230" s="53"/>
      <c r="AJ230" s="53"/>
      <c r="AK230" s="174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120"/>
      <c r="CB230" s="120"/>
      <c r="CK230" s="41"/>
      <c r="CL230" s="42"/>
      <c r="CM230" s="42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</row>
    <row r="231" spans="1:123" hidden="1" outlineLevel="1">
      <c r="A231" s="41"/>
      <c r="B231" s="46"/>
      <c r="C231" s="41"/>
      <c r="D231" s="41"/>
      <c r="E231" s="13"/>
      <c r="F231" s="13"/>
      <c r="G231" s="41"/>
      <c r="H231" s="46"/>
      <c r="I231" s="46"/>
      <c r="J231" s="48"/>
      <c r="K231" s="48"/>
      <c r="L231" s="48"/>
      <c r="M231" s="48"/>
      <c r="N231" s="48"/>
      <c r="O231" s="48"/>
      <c r="P231" s="48"/>
      <c r="Q231" s="125"/>
      <c r="R231" s="52"/>
      <c r="S231" s="52"/>
      <c r="T231" s="48"/>
      <c r="U231" s="215" t="e">
        <f t="shared" si="41"/>
        <v>#DIV/0!</v>
      </c>
      <c r="V231" s="64"/>
      <c r="W231" s="64"/>
      <c r="X231" s="22"/>
      <c r="Y231" s="215" t="e">
        <f t="shared" si="42"/>
        <v>#DIV/0!</v>
      </c>
      <c r="Z231" s="170"/>
      <c r="AA231" s="170"/>
      <c r="AB231" s="51"/>
      <c r="AC231" s="51"/>
      <c r="AD231" s="51"/>
      <c r="AE231" s="51"/>
      <c r="AF231" s="52"/>
      <c r="AG231" s="53"/>
      <c r="AH231" s="53"/>
      <c r="AI231" s="53"/>
      <c r="AJ231" s="53"/>
      <c r="AK231" s="174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120"/>
      <c r="CB231" s="120"/>
      <c r="CK231" s="41"/>
      <c r="CL231" s="42"/>
      <c r="CM231" s="42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</row>
    <row r="232" spans="1:123" hidden="1" outlineLevel="1">
      <c r="A232" s="41"/>
      <c r="B232" s="46"/>
      <c r="C232" s="41"/>
      <c r="D232" s="41"/>
      <c r="E232" s="13"/>
      <c r="F232" s="13"/>
      <c r="G232" s="41"/>
      <c r="H232" s="46"/>
      <c r="I232" s="46"/>
      <c r="J232" s="48"/>
      <c r="K232" s="48"/>
      <c r="L232" s="48"/>
      <c r="M232" s="48"/>
      <c r="N232" s="48"/>
      <c r="O232" s="48"/>
      <c r="P232" s="48"/>
      <c r="Q232" s="125"/>
      <c r="R232" s="52"/>
      <c r="S232" s="52"/>
      <c r="T232" s="48"/>
      <c r="U232" s="215" t="e">
        <f t="shared" si="41"/>
        <v>#DIV/0!</v>
      </c>
      <c r="V232" s="64"/>
      <c r="W232" s="64"/>
      <c r="X232" s="22"/>
      <c r="Y232" s="215" t="e">
        <f t="shared" si="42"/>
        <v>#DIV/0!</v>
      </c>
      <c r="Z232" s="170"/>
      <c r="AA232" s="170"/>
      <c r="AB232" s="51"/>
      <c r="AC232" s="51"/>
      <c r="AD232" s="51"/>
      <c r="AE232" s="51"/>
      <c r="AF232" s="52"/>
      <c r="AG232" s="53"/>
      <c r="AH232" s="53"/>
      <c r="AI232" s="53"/>
      <c r="AJ232" s="53"/>
      <c r="AK232" s="174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120"/>
      <c r="CB232" s="120"/>
      <c r="CK232" s="41"/>
      <c r="CL232" s="42"/>
      <c r="CM232" s="42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</row>
    <row r="233" spans="1:123" hidden="1" outlineLevel="1">
      <c r="A233" s="41"/>
      <c r="B233" s="46"/>
      <c r="C233" s="41"/>
      <c r="D233" s="41"/>
      <c r="E233" s="13"/>
      <c r="F233" s="13"/>
      <c r="G233" s="41"/>
      <c r="H233" s="46"/>
      <c r="I233" s="46"/>
      <c r="J233" s="48"/>
      <c r="K233" s="48"/>
      <c r="L233" s="48"/>
      <c r="M233" s="48"/>
      <c r="N233" s="48"/>
      <c r="O233" s="48"/>
      <c r="P233" s="48"/>
      <c r="Q233" s="125"/>
      <c r="R233" s="52"/>
      <c r="S233" s="52"/>
      <c r="T233" s="48"/>
      <c r="U233" s="215" t="e">
        <f t="shared" si="41"/>
        <v>#DIV/0!</v>
      </c>
      <c r="V233" s="64"/>
      <c r="W233" s="64"/>
      <c r="X233" s="22"/>
      <c r="Y233" s="215" t="e">
        <f t="shared" si="42"/>
        <v>#DIV/0!</v>
      </c>
      <c r="Z233" s="170"/>
      <c r="AA233" s="170"/>
      <c r="AB233" s="51"/>
      <c r="AC233" s="51"/>
      <c r="AD233" s="51"/>
      <c r="AE233" s="51"/>
      <c r="AF233" s="52"/>
      <c r="AG233" s="53"/>
      <c r="AH233" s="53"/>
      <c r="AI233" s="53"/>
      <c r="AJ233" s="53"/>
      <c r="AK233" s="174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120"/>
      <c r="CB233" s="120"/>
      <c r="CK233" s="41"/>
      <c r="CL233" s="42"/>
      <c r="CM233" s="42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</row>
    <row r="234" spans="1:123" hidden="1" outlineLevel="1">
      <c r="A234" s="41"/>
      <c r="B234" s="46"/>
      <c r="C234" s="41"/>
      <c r="D234" s="41"/>
      <c r="E234" s="13"/>
      <c r="F234" s="13"/>
      <c r="G234" s="41"/>
      <c r="H234" s="46"/>
      <c r="I234" s="46"/>
      <c r="J234" s="48"/>
      <c r="K234" s="48"/>
      <c r="L234" s="48"/>
      <c r="M234" s="48"/>
      <c r="N234" s="48"/>
      <c r="O234" s="48"/>
      <c r="P234" s="48"/>
      <c r="Q234" s="125"/>
      <c r="R234" s="52"/>
      <c r="S234" s="52"/>
      <c r="T234" s="48"/>
      <c r="U234" s="215" t="e">
        <f t="shared" si="41"/>
        <v>#DIV/0!</v>
      </c>
      <c r="V234" s="64"/>
      <c r="W234" s="64"/>
      <c r="X234" s="22"/>
      <c r="Y234" s="215" t="e">
        <f t="shared" si="42"/>
        <v>#DIV/0!</v>
      </c>
      <c r="Z234" s="170"/>
      <c r="AA234" s="170"/>
      <c r="AB234" s="51"/>
      <c r="AC234" s="51"/>
      <c r="AD234" s="51"/>
      <c r="AE234" s="51"/>
      <c r="AF234" s="52"/>
      <c r="AG234" s="53"/>
      <c r="AH234" s="53"/>
      <c r="AI234" s="53"/>
      <c r="AJ234" s="53"/>
      <c r="AK234" s="174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120"/>
      <c r="CB234" s="120"/>
      <c r="CK234" s="41"/>
      <c r="CL234" s="42"/>
      <c r="CM234" s="42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</row>
    <row r="235" spans="1:123" hidden="1" outlineLevel="1">
      <c r="A235" s="41"/>
      <c r="B235" s="46"/>
      <c r="C235" s="41"/>
      <c r="D235" s="41"/>
      <c r="E235" s="13"/>
      <c r="F235" s="13"/>
      <c r="G235" s="41"/>
      <c r="H235" s="46"/>
      <c r="I235" s="46"/>
      <c r="J235" s="48"/>
      <c r="K235" s="48"/>
      <c r="L235" s="48"/>
      <c r="M235" s="48"/>
      <c r="N235" s="48"/>
      <c r="O235" s="48"/>
      <c r="P235" s="48"/>
      <c r="Q235" s="125"/>
      <c r="R235" s="52"/>
      <c r="S235" s="52"/>
      <c r="T235" s="48"/>
      <c r="U235" s="215" t="e">
        <f t="shared" si="41"/>
        <v>#DIV/0!</v>
      </c>
      <c r="V235" s="64"/>
      <c r="W235" s="64"/>
      <c r="X235" s="22"/>
      <c r="Y235" s="215" t="e">
        <f t="shared" si="42"/>
        <v>#DIV/0!</v>
      </c>
      <c r="Z235" s="170"/>
      <c r="AA235" s="170"/>
      <c r="AB235" s="51"/>
      <c r="AC235" s="51"/>
      <c r="AD235" s="51"/>
      <c r="AE235" s="51"/>
      <c r="AF235" s="52"/>
      <c r="AG235" s="53"/>
      <c r="AH235" s="53"/>
      <c r="AI235" s="53"/>
      <c r="AJ235" s="53"/>
      <c r="AK235" s="174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120"/>
      <c r="CB235" s="120"/>
      <c r="CK235" s="41"/>
      <c r="CL235" s="42"/>
      <c r="CM235" s="42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</row>
    <row r="236" spans="1:123" hidden="1" outlineLevel="1">
      <c r="A236" s="41"/>
      <c r="B236" s="46"/>
      <c r="C236" s="41"/>
      <c r="D236" s="41"/>
      <c r="E236" s="13"/>
      <c r="F236" s="13"/>
      <c r="G236" s="41"/>
      <c r="H236" s="46"/>
      <c r="I236" s="46"/>
      <c r="J236" s="48"/>
      <c r="K236" s="48"/>
      <c r="L236" s="48"/>
      <c r="M236" s="48"/>
      <c r="N236" s="48"/>
      <c r="O236" s="48"/>
      <c r="P236" s="48"/>
      <c r="Q236" s="125"/>
      <c r="R236" s="52"/>
      <c r="S236" s="52"/>
      <c r="T236" s="48"/>
      <c r="U236" s="215" t="e">
        <f t="shared" si="41"/>
        <v>#DIV/0!</v>
      </c>
      <c r="V236" s="64"/>
      <c r="W236" s="64"/>
      <c r="X236" s="22"/>
      <c r="Y236" s="215" t="e">
        <f t="shared" si="42"/>
        <v>#DIV/0!</v>
      </c>
      <c r="Z236" s="170"/>
      <c r="AA236" s="170"/>
      <c r="AB236" s="51"/>
      <c r="AC236" s="51"/>
      <c r="AD236" s="51"/>
      <c r="AE236" s="51"/>
      <c r="AF236" s="52"/>
      <c r="AG236" s="53"/>
      <c r="AH236" s="53"/>
      <c r="AI236" s="53"/>
      <c r="AJ236" s="53"/>
      <c r="AK236" s="174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120"/>
      <c r="CB236" s="120"/>
      <c r="CK236" s="41"/>
      <c r="CL236" s="42"/>
      <c r="CM236" s="42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</row>
    <row r="237" spans="1:123" hidden="1" outlineLevel="1">
      <c r="A237" s="41"/>
      <c r="B237" s="46"/>
      <c r="C237" s="41"/>
      <c r="D237" s="41"/>
      <c r="E237" s="13"/>
      <c r="F237" s="13"/>
      <c r="G237" s="41"/>
      <c r="H237" s="46"/>
      <c r="I237" s="46"/>
      <c r="J237" s="48"/>
      <c r="K237" s="48"/>
      <c r="L237" s="48"/>
      <c r="M237" s="48"/>
      <c r="N237" s="48"/>
      <c r="O237" s="48"/>
      <c r="P237" s="48"/>
      <c r="Q237" s="125"/>
      <c r="R237" s="52"/>
      <c r="S237" s="52"/>
      <c r="T237" s="48"/>
      <c r="U237" s="215" t="e">
        <f t="shared" si="41"/>
        <v>#DIV/0!</v>
      </c>
      <c r="V237" s="64"/>
      <c r="W237" s="64"/>
      <c r="X237" s="22"/>
      <c r="Y237" s="215" t="e">
        <f t="shared" si="42"/>
        <v>#DIV/0!</v>
      </c>
      <c r="Z237" s="170"/>
      <c r="AA237" s="170"/>
      <c r="AB237" s="51"/>
      <c r="AC237" s="51"/>
      <c r="AD237" s="51"/>
      <c r="AE237" s="51"/>
      <c r="AF237" s="52"/>
      <c r="AG237" s="53"/>
      <c r="AH237" s="53"/>
      <c r="AI237" s="53"/>
      <c r="AJ237" s="53"/>
      <c r="AK237" s="174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120"/>
      <c r="CB237" s="120"/>
      <c r="CK237" s="41"/>
      <c r="CL237" s="42"/>
      <c r="CM237" s="42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</row>
    <row r="238" spans="1:123" hidden="1" outlineLevel="1">
      <c r="A238" s="41"/>
      <c r="B238" s="46"/>
      <c r="C238" s="41"/>
      <c r="D238" s="41"/>
      <c r="E238" s="13"/>
      <c r="F238" s="13"/>
      <c r="G238" s="41"/>
      <c r="H238" s="46"/>
      <c r="I238" s="46"/>
      <c r="J238" s="48"/>
      <c r="K238" s="48"/>
      <c r="L238" s="48"/>
      <c r="M238" s="48"/>
      <c r="N238" s="48"/>
      <c r="O238" s="48"/>
      <c r="P238" s="48"/>
      <c r="Q238" s="125"/>
      <c r="R238" s="52"/>
      <c r="S238" s="52"/>
      <c r="T238" s="48"/>
      <c r="U238" s="215" t="e">
        <f t="shared" si="41"/>
        <v>#DIV/0!</v>
      </c>
      <c r="V238" s="64"/>
      <c r="W238" s="64"/>
      <c r="X238" s="22"/>
      <c r="Y238" s="215" t="e">
        <f t="shared" si="42"/>
        <v>#DIV/0!</v>
      </c>
      <c r="Z238" s="170"/>
      <c r="AA238" s="170"/>
      <c r="AB238" s="51"/>
      <c r="AC238" s="51"/>
      <c r="AD238" s="51"/>
      <c r="AE238" s="51"/>
      <c r="AF238" s="52"/>
      <c r="AG238" s="53"/>
      <c r="AH238" s="53"/>
      <c r="AI238" s="53"/>
      <c r="AJ238" s="53"/>
      <c r="AK238" s="174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120"/>
      <c r="CB238" s="120"/>
      <c r="CK238" s="41"/>
      <c r="CL238" s="42"/>
      <c r="CM238" s="42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</row>
    <row r="239" spans="1:123" hidden="1" outlineLevel="1">
      <c r="A239" s="41"/>
      <c r="B239" s="46"/>
      <c r="C239" s="41"/>
      <c r="D239" s="41"/>
      <c r="E239" s="13"/>
      <c r="F239" s="13"/>
      <c r="G239" s="41"/>
      <c r="H239" s="46"/>
      <c r="I239" s="46"/>
      <c r="J239" s="48"/>
      <c r="K239" s="48"/>
      <c r="L239" s="48"/>
      <c r="M239" s="48"/>
      <c r="N239" s="48"/>
      <c r="O239" s="48"/>
      <c r="P239" s="48"/>
      <c r="Q239" s="125"/>
      <c r="R239" s="52"/>
      <c r="S239" s="52"/>
      <c r="T239" s="48"/>
      <c r="U239" s="215" t="e">
        <f t="shared" si="41"/>
        <v>#DIV/0!</v>
      </c>
      <c r="V239" s="64"/>
      <c r="W239" s="64"/>
      <c r="X239" s="22"/>
      <c r="Y239" s="215" t="e">
        <f t="shared" si="42"/>
        <v>#DIV/0!</v>
      </c>
      <c r="Z239" s="170"/>
      <c r="AA239" s="170"/>
      <c r="AB239" s="51"/>
      <c r="AC239" s="51"/>
      <c r="AD239" s="51"/>
      <c r="AE239" s="51"/>
      <c r="AF239" s="52"/>
      <c r="AG239" s="53"/>
      <c r="AH239" s="53"/>
      <c r="AI239" s="53"/>
      <c r="AJ239" s="53"/>
      <c r="AK239" s="174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120"/>
      <c r="CB239" s="120"/>
      <c r="CK239" s="41"/>
      <c r="CL239" s="42"/>
      <c r="CM239" s="42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</row>
    <row r="240" spans="1:123" hidden="1" outlineLevel="1">
      <c r="A240" s="41"/>
      <c r="B240" s="46"/>
      <c r="C240" s="41"/>
      <c r="D240" s="41"/>
      <c r="E240" s="13"/>
      <c r="F240" s="13"/>
      <c r="G240" s="41"/>
      <c r="H240" s="46"/>
      <c r="I240" s="46"/>
      <c r="J240" s="48"/>
      <c r="K240" s="48"/>
      <c r="L240" s="48"/>
      <c r="M240" s="48"/>
      <c r="N240" s="48"/>
      <c r="O240" s="48"/>
      <c r="P240" s="48"/>
      <c r="Q240" s="125"/>
      <c r="R240" s="52"/>
      <c r="S240" s="52"/>
      <c r="T240" s="48"/>
      <c r="U240" s="215" t="e">
        <f t="shared" si="41"/>
        <v>#DIV/0!</v>
      </c>
      <c r="V240" s="64"/>
      <c r="W240" s="64"/>
      <c r="X240" s="22"/>
      <c r="Y240" s="215" t="e">
        <f t="shared" si="42"/>
        <v>#DIV/0!</v>
      </c>
      <c r="Z240" s="170"/>
      <c r="AA240" s="170"/>
      <c r="AB240" s="51"/>
      <c r="AC240" s="51"/>
      <c r="AD240" s="51"/>
      <c r="AE240" s="51"/>
      <c r="AF240" s="52"/>
      <c r="AG240" s="53"/>
      <c r="AH240" s="53"/>
      <c r="AI240" s="53"/>
      <c r="AJ240" s="53"/>
      <c r="AK240" s="174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120"/>
      <c r="CB240" s="120"/>
      <c r="CK240" s="41"/>
      <c r="CL240" s="42"/>
      <c r="CM240" s="42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1"/>
      <c r="DQ240" s="41"/>
      <c r="DR240" s="41"/>
      <c r="DS240" s="41"/>
    </row>
    <row r="241" spans="1:123" hidden="1" outlineLevel="1">
      <c r="A241" s="41"/>
      <c r="B241" s="46"/>
      <c r="C241" s="41"/>
      <c r="D241" s="41"/>
      <c r="E241" s="13"/>
      <c r="F241" s="13"/>
      <c r="G241" s="41"/>
      <c r="H241" s="46"/>
      <c r="I241" s="46"/>
      <c r="J241" s="48"/>
      <c r="K241" s="48"/>
      <c r="L241" s="48"/>
      <c r="M241" s="48"/>
      <c r="N241" s="48"/>
      <c r="O241" s="48"/>
      <c r="P241" s="48"/>
      <c r="Q241" s="125"/>
      <c r="R241" s="52"/>
      <c r="S241" s="52"/>
      <c r="T241" s="48"/>
      <c r="U241" s="215" t="e">
        <f t="shared" si="41"/>
        <v>#DIV/0!</v>
      </c>
      <c r="V241" s="64"/>
      <c r="W241" s="64"/>
      <c r="X241" s="22"/>
      <c r="Y241" s="215" t="e">
        <f t="shared" si="42"/>
        <v>#DIV/0!</v>
      </c>
      <c r="Z241" s="170"/>
      <c r="AA241" s="170"/>
      <c r="AB241" s="51"/>
      <c r="AC241" s="51"/>
      <c r="AD241" s="51"/>
      <c r="AE241" s="51"/>
      <c r="AF241" s="52"/>
      <c r="AG241" s="53"/>
      <c r="AH241" s="53"/>
      <c r="AI241" s="53"/>
      <c r="AJ241" s="53"/>
      <c r="AK241" s="174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120"/>
      <c r="CB241" s="120"/>
      <c r="CK241" s="41"/>
      <c r="CL241" s="42"/>
      <c r="CM241" s="42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</row>
    <row r="242" spans="1:123" hidden="1" outlineLevel="1">
      <c r="A242" s="41"/>
      <c r="B242" s="46"/>
      <c r="C242" s="41"/>
      <c r="D242" s="41"/>
      <c r="E242" s="13"/>
      <c r="F242" s="13"/>
      <c r="G242" s="41"/>
      <c r="H242" s="46"/>
      <c r="I242" s="46"/>
      <c r="J242" s="48"/>
      <c r="K242" s="48"/>
      <c r="L242" s="48"/>
      <c r="M242" s="48"/>
      <c r="N242" s="48"/>
      <c r="O242" s="48"/>
      <c r="P242" s="48"/>
      <c r="Q242" s="125"/>
      <c r="R242" s="52"/>
      <c r="S242" s="52"/>
      <c r="T242" s="48"/>
      <c r="U242" s="215" t="e">
        <f t="shared" si="41"/>
        <v>#DIV/0!</v>
      </c>
      <c r="V242" s="64"/>
      <c r="W242" s="64"/>
      <c r="X242" s="22"/>
      <c r="Y242" s="215" t="e">
        <f t="shared" si="42"/>
        <v>#DIV/0!</v>
      </c>
      <c r="Z242" s="170"/>
      <c r="AA242" s="170"/>
      <c r="AB242" s="51"/>
      <c r="AC242" s="51"/>
      <c r="AD242" s="51"/>
      <c r="AE242" s="51"/>
      <c r="AF242" s="52"/>
      <c r="AG242" s="53"/>
      <c r="AH242" s="53"/>
      <c r="AI242" s="53"/>
      <c r="AJ242" s="53"/>
      <c r="AK242" s="174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120"/>
      <c r="CB242" s="120"/>
      <c r="CK242" s="41"/>
      <c r="CL242" s="42"/>
      <c r="CM242" s="42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</row>
    <row r="243" spans="1:123" hidden="1" outlineLevel="1">
      <c r="A243" s="41"/>
      <c r="B243" s="46"/>
      <c r="C243" s="41"/>
      <c r="D243" s="41"/>
      <c r="E243" s="13"/>
      <c r="F243" s="13"/>
      <c r="G243" s="41"/>
      <c r="H243" s="46"/>
      <c r="I243" s="46"/>
      <c r="J243" s="48"/>
      <c r="K243" s="48"/>
      <c r="L243" s="48"/>
      <c r="M243" s="48"/>
      <c r="N243" s="48"/>
      <c r="O243" s="48"/>
      <c r="P243" s="48"/>
      <c r="Q243" s="125"/>
      <c r="R243" s="52"/>
      <c r="S243" s="52"/>
      <c r="T243" s="48"/>
      <c r="U243" s="215" t="e">
        <f t="shared" si="41"/>
        <v>#DIV/0!</v>
      </c>
      <c r="V243" s="64"/>
      <c r="W243" s="64"/>
      <c r="X243" s="22"/>
      <c r="Y243" s="215" t="e">
        <f t="shared" si="42"/>
        <v>#DIV/0!</v>
      </c>
      <c r="Z243" s="170"/>
      <c r="AA243" s="170"/>
      <c r="AB243" s="51"/>
      <c r="AC243" s="51"/>
      <c r="AD243" s="51"/>
      <c r="AE243" s="51"/>
      <c r="AF243" s="52"/>
      <c r="AG243" s="53"/>
      <c r="AH243" s="53"/>
      <c r="AI243" s="53"/>
      <c r="AJ243" s="53"/>
      <c r="AK243" s="174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120"/>
      <c r="CB243" s="120"/>
      <c r="CK243" s="41"/>
      <c r="CL243" s="42"/>
      <c r="CM243" s="42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</row>
    <row r="244" spans="1:123" hidden="1" outlineLevel="1">
      <c r="A244" s="41"/>
      <c r="B244" s="46"/>
      <c r="C244" s="41"/>
      <c r="D244" s="41"/>
      <c r="E244" s="13"/>
      <c r="F244" s="13"/>
      <c r="G244" s="41"/>
      <c r="H244" s="46"/>
      <c r="I244" s="46"/>
      <c r="J244" s="48"/>
      <c r="K244" s="48"/>
      <c r="L244" s="48"/>
      <c r="M244" s="48"/>
      <c r="N244" s="48"/>
      <c r="O244" s="48"/>
      <c r="P244" s="48"/>
      <c r="Q244" s="125"/>
      <c r="R244" s="52"/>
      <c r="S244" s="52"/>
      <c r="T244" s="48"/>
      <c r="U244" s="215" t="e">
        <f t="shared" si="41"/>
        <v>#DIV/0!</v>
      </c>
      <c r="V244" s="64"/>
      <c r="W244" s="64"/>
      <c r="X244" s="22"/>
      <c r="Y244" s="215" t="e">
        <f t="shared" si="42"/>
        <v>#DIV/0!</v>
      </c>
      <c r="Z244" s="170"/>
      <c r="AA244" s="170"/>
      <c r="AB244" s="51"/>
      <c r="AC244" s="51"/>
      <c r="AD244" s="51"/>
      <c r="AE244" s="51"/>
      <c r="AF244" s="52"/>
      <c r="AG244" s="53"/>
      <c r="AH244" s="53"/>
      <c r="AI244" s="53"/>
      <c r="AJ244" s="53"/>
      <c r="AK244" s="174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120"/>
      <c r="CB244" s="120"/>
      <c r="CK244" s="41"/>
      <c r="CL244" s="42"/>
      <c r="CM244" s="42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</row>
    <row r="245" spans="1:123" hidden="1" outlineLevel="1">
      <c r="A245" s="41"/>
      <c r="B245" s="46"/>
      <c r="C245" s="41"/>
      <c r="D245" s="41"/>
      <c r="E245" s="13"/>
      <c r="F245" s="13"/>
      <c r="G245" s="41"/>
      <c r="H245" s="46"/>
      <c r="I245" s="46"/>
      <c r="J245" s="48"/>
      <c r="K245" s="48"/>
      <c r="L245" s="48"/>
      <c r="M245" s="48"/>
      <c r="N245" s="48"/>
      <c r="O245" s="48"/>
      <c r="P245" s="48"/>
      <c r="Q245" s="125"/>
      <c r="R245" s="52"/>
      <c r="S245" s="52"/>
      <c r="T245" s="48"/>
      <c r="U245" s="215" t="e">
        <f t="shared" si="41"/>
        <v>#DIV/0!</v>
      </c>
      <c r="V245" s="64"/>
      <c r="W245" s="64"/>
      <c r="X245" s="22"/>
      <c r="Y245" s="215" t="e">
        <f t="shared" si="42"/>
        <v>#DIV/0!</v>
      </c>
      <c r="Z245" s="170"/>
      <c r="AA245" s="170"/>
      <c r="AB245" s="51"/>
      <c r="AC245" s="51"/>
      <c r="AD245" s="51"/>
      <c r="AE245" s="51"/>
      <c r="AF245" s="52"/>
      <c r="AG245" s="53"/>
      <c r="AH245" s="53"/>
      <c r="AI245" s="53"/>
      <c r="AJ245" s="53"/>
      <c r="AK245" s="174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120"/>
      <c r="CB245" s="120"/>
      <c r="CK245" s="41"/>
      <c r="CL245" s="42"/>
      <c r="CM245" s="42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</row>
    <row r="246" spans="1:123" hidden="1" outlineLevel="1">
      <c r="A246" s="41"/>
      <c r="B246" s="46"/>
      <c r="C246" s="41"/>
      <c r="D246" s="41"/>
      <c r="E246" s="13"/>
      <c r="F246" s="13"/>
      <c r="G246" s="41"/>
      <c r="H246" s="46"/>
      <c r="I246" s="46"/>
      <c r="J246" s="48"/>
      <c r="K246" s="48"/>
      <c r="L246" s="48"/>
      <c r="M246" s="48"/>
      <c r="N246" s="48"/>
      <c r="O246" s="48"/>
      <c r="P246" s="48"/>
      <c r="Q246" s="125"/>
      <c r="R246" s="52"/>
      <c r="S246" s="52"/>
      <c r="T246" s="48"/>
      <c r="U246" s="215" t="e">
        <f t="shared" si="41"/>
        <v>#DIV/0!</v>
      </c>
      <c r="V246" s="64"/>
      <c r="W246" s="64"/>
      <c r="X246" s="22"/>
      <c r="Y246" s="215" t="e">
        <f t="shared" si="42"/>
        <v>#DIV/0!</v>
      </c>
      <c r="Z246" s="170"/>
      <c r="AA246" s="170"/>
      <c r="AB246" s="51"/>
      <c r="AC246" s="51"/>
      <c r="AD246" s="51"/>
      <c r="AE246" s="51"/>
      <c r="AF246" s="52"/>
      <c r="AG246" s="53"/>
      <c r="AH246" s="53"/>
      <c r="AI246" s="53"/>
      <c r="AJ246" s="53"/>
      <c r="AK246" s="174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120"/>
      <c r="CB246" s="120"/>
      <c r="CK246" s="41"/>
      <c r="CL246" s="42"/>
      <c r="CM246" s="42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</row>
    <row r="247" spans="1:123" hidden="1" outlineLevel="1">
      <c r="A247" s="41"/>
      <c r="B247" s="46"/>
      <c r="C247" s="41"/>
      <c r="D247" s="41"/>
      <c r="E247" s="13"/>
      <c r="F247" s="13"/>
      <c r="G247" s="41"/>
      <c r="H247" s="46"/>
      <c r="I247" s="46"/>
      <c r="J247" s="48"/>
      <c r="K247" s="48"/>
      <c r="L247" s="48"/>
      <c r="M247" s="48"/>
      <c r="N247" s="48"/>
      <c r="O247" s="48"/>
      <c r="P247" s="48"/>
      <c r="Q247" s="125"/>
      <c r="R247" s="52"/>
      <c r="S247" s="52"/>
      <c r="T247" s="48"/>
      <c r="U247" s="215" t="e">
        <f t="shared" si="41"/>
        <v>#DIV/0!</v>
      </c>
      <c r="V247" s="64"/>
      <c r="W247" s="64"/>
      <c r="X247" s="22"/>
      <c r="Y247" s="215" t="e">
        <f t="shared" si="42"/>
        <v>#DIV/0!</v>
      </c>
      <c r="Z247" s="170"/>
      <c r="AA247" s="170"/>
      <c r="AB247" s="51"/>
      <c r="AC247" s="51"/>
      <c r="AD247" s="51"/>
      <c r="AE247" s="51"/>
      <c r="AF247" s="52"/>
      <c r="AG247" s="53"/>
      <c r="AH247" s="53"/>
      <c r="AI247" s="53"/>
      <c r="AJ247" s="53"/>
      <c r="AK247" s="174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120"/>
      <c r="CB247" s="120"/>
      <c r="CK247" s="41"/>
      <c r="CL247" s="42"/>
      <c r="CM247" s="42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</row>
    <row r="248" spans="1:123" s="8" customFormat="1" ht="15" customHeight="1" collapsed="1">
      <c r="A248" s="5"/>
      <c r="B248" s="4"/>
      <c r="C248" s="5" t="s">
        <v>16</v>
      </c>
      <c r="D248" s="5"/>
      <c r="E248" s="6"/>
      <c r="F248" s="6"/>
      <c r="G248" s="11">
        <f>SUM(G7:G62)</f>
        <v>48</v>
      </c>
      <c r="H248" s="7"/>
      <c r="I248" s="7"/>
      <c r="J248" s="11">
        <f t="shared" ref="J248:BW248" si="43">SUM(J7:J62)</f>
        <v>1690597</v>
      </c>
      <c r="K248" s="11">
        <f t="shared" si="43"/>
        <v>85133</v>
      </c>
      <c r="L248" s="11">
        <f t="shared" si="43"/>
        <v>67322</v>
      </c>
      <c r="M248" s="11">
        <f t="shared" si="43"/>
        <v>29039</v>
      </c>
      <c r="N248" s="11">
        <f t="shared" si="43"/>
        <v>7008</v>
      </c>
      <c r="O248" s="11">
        <f t="shared" si="43"/>
        <v>13579</v>
      </c>
      <c r="P248" s="11">
        <f t="shared" si="43"/>
        <v>7080</v>
      </c>
      <c r="Q248" s="128">
        <f t="shared" si="43"/>
        <v>12379</v>
      </c>
      <c r="R248" s="24">
        <f t="shared" si="43"/>
        <v>332665.78000000009</v>
      </c>
      <c r="S248" s="11">
        <f t="shared" si="43"/>
        <v>208565.9</v>
      </c>
      <c r="T248" s="11">
        <f t="shared" si="43"/>
        <v>4861</v>
      </c>
      <c r="U248" s="216">
        <f t="shared" si="41"/>
        <v>0.8146103575787087</v>
      </c>
      <c r="V248" s="11">
        <f t="shared" si="43"/>
        <v>270992.99000000011</v>
      </c>
      <c r="W248" s="11">
        <f t="shared" si="43"/>
        <v>167103.81999999998</v>
      </c>
      <c r="X248" s="11">
        <f t="shared" si="43"/>
        <v>2146</v>
      </c>
      <c r="Y248" s="215">
        <f t="shared" si="42"/>
        <v>0.18307861421754881</v>
      </c>
      <c r="Z248" s="24">
        <f t="shared" si="43"/>
        <v>60903.989999999983</v>
      </c>
      <c r="AA248" s="24">
        <f t="shared" si="43"/>
        <v>40881.399999999994</v>
      </c>
      <c r="AB248" s="11">
        <f t="shared" si="43"/>
        <v>1</v>
      </c>
      <c r="AC248" s="11">
        <f t="shared" si="43"/>
        <v>768.8</v>
      </c>
      <c r="AD248" s="11">
        <f t="shared" si="43"/>
        <v>580.67999999999995</v>
      </c>
      <c r="AE248" s="24">
        <f t="shared" si="43"/>
        <v>37646.579999999987</v>
      </c>
      <c r="AF248" s="16">
        <f t="shared" si="43"/>
        <v>20787.36</v>
      </c>
      <c r="AG248" s="11">
        <f t="shared" si="43"/>
        <v>0</v>
      </c>
      <c r="AH248" s="24">
        <f t="shared" si="43"/>
        <v>20787.36</v>
      </c>
      <c r="AI248" s="24">
        <f t="shared" si="43"/>
        <v>16859.22</v>
      </c>
      <c r="AJ248" s="11">
        <f t="shared" si="43"/>
        <v>0</v>
      </c>
      <c r="AK248" s="24">
        <f t="shared" si="43"/>
        <v>370312.36</v>
      </c>
      <c r="AL248" s="11">
        <f t="shared" si="43"/>
        <v>0</v>
      </c>
      <c r="AM248" s="11">
        <f t="shared" si="43"/>
        <v>84</v>
      </c>
      <c r="AN248" s="11">
        <f t="shared" si="43"/>
        <v>194</v>
      </c>
      <c r="AO248" s="11">
        <f t="shared" si="43"/>
        <v>77</v>
      </c>
      <c r="AP248" s="11">
        <f t="shared" si="43"/>
        <v>0</v>
      </c>
      <c r="AQ248" s="11">
        <f t="shared" si="43"/>
        <v>108</v>
      </c>
      <c r="AR248" s="11">
        <f t="shared" si="43"/>
        <v>277937</v>
      </c>
      <c r="AS248" s="11">
        <f t="shared" si="43"/>
        <v>25765</v>
      </c>
      <c r="AT248" s="11">
        <f t="shared" si="43"/>
        <v>23436</v>
      </c>
      <c r="AU248" s="11">
        <f t="shared" si="43"/>
        <v>18749</v>
      </c>
      <c r="AV248" s="11">
        <f t="shared" si="43"/>
        <v>19379</v>
      </c>
      <c r="AW248" s="11">
        <f t="shared" si="43"/>
        <v>420678</v>
      </c>
      <c r="AX248" s="11">
        <f t="shared" si="43"/>
        <v>112316</v>
      </c>
      <c r="AY248" s="11">
        <f t="shared" si="43"/>
        <v>308362</v>
      </c>
      <c r="AZ248" s="11">
        <f t="shared" si="43"/>
        <v>77695</v>
      </c>
      <c r="BA248" s="11">
        <f t="shared" si="43"/>
        <v>10837</v>
      </c>
      <c r="BB248" s="11">
        <f t="shared" si="43"/>
        <v>82081</v>
      </c>
      <c r="BC248" s="11">
        <f t="shared" si="43"/>
        <v>82081</v>
      </c>
      <c r="BD248" s="11">
        <f t="shared" si="43"/>
        <v>1994</v>
      </c>
      <c r="BE248" s="11">
        <f t="shared" si="43"/>
        <v>876</v>
      </c>
      <c r="BF248" s="11">
        <f t="shared" si="43"/>
        <v>18166</v>
      </c>
      <c r="BG248" s="11">
        <f t="shared" si="43"/>
        <v>49332</v>
      </c>
      <c r="BH248" s="11">
        <f t="shared" si="43"/>
        <v>14</v>
      </c>
      <c r="BI248" s="11">
        <f t="shared" si="43"/>
        <v>501420</v>
      </c>
      <c r="BJ248" s="11">
        <f t="shared" si="43"/>
        <v>119924</v>
      </c>
      <c r="BK248" s="11">
        <f t="shared" si="43"/>
        <v>6220</v>
      </c>
      <c r="BL248" s="11">
        <f t="shared" si="43"/>
        <v>25</v>
      </c>
      <c r="BM248" s="11">
        <f t="shared" si="43"/>
        <v>148594.88</v>
      </c>
      <c r="BN248" s="11">
        <f t="shared" si="43"/>
        <v>89488.29</v>
      </c>
      <c r="BO248" s="11">
        <f t="shared" si="43"/>
        <v>20</v>
      </c>
      <c r="BP248" s="11">
        <f t="shared" si="43"/>
        <v>136403.20000000001</v>
      </c>
      <c r="BQ248" s="11">
        <f t="shared" si="43"/>
        <v>89844.510000000009</v>
      </c>
      <c r="BR248" s="11">
        <f t="shared" si="43"/>
        <v>3</v>
      </c>
      <c r="BS248" s="11">
        <f t="shared" si="43"/>
        <v>47667.700000000004</v>
      </c>
      <c r="BT248" s="11">
        <f t="shared" si="43"/>
        <v>29233.1</v>
      </c>
      <c r="BU248" s="11">
        <f t="shared" si="43"/>
        <v>0</v>
      </c>
      <c r="BV248" s="11">
        <f t="shared" si="43"/>
        <v>132</v>
      </c>
      <c r="BW248" s="11">
        <f t="shared" si="43"/>
        <v>48682</v>
      </c>
      <c r="BX248" s="11">
        <f t="shared" ref="BX248:CJ248" si="44">SUM(BX7:BX62)</f>
        <v>153080</v>
      </c>
      <c r="BY248" s="11">
        <f t="shared" si="44"/>
        <v>40</v>
      </c>
      <c r="BZ248" s="11">
        <f t="shared" si="44"/>
        <v>147822</v>
      </c>
      <c r="CA248" s="11">
        <f t="shared" si="44"/>
        <v>66835.26999999999</v>
      </c>
      <c r="CB248" s="24">
        <f t="shared" si="44"/>
        <v>56570.859999999993</v>
      </c>
      <c r="CC248" s="11">
        <f t="shared" si="44"/>
        <v>202041</v>
      </c>
      <c r="CD248" s="11">
        <f t="shared" si="44"/>
        <v>116908</v>
      </c>
      <c r="CE248" s="11">
        <f t="shared" si="44"/>
        <v>6</v>
      </c>
      <c r="CF248" s="11">
        <f t="shared" si="44"/>
        <v>112316</v>
      </c>
      <c r="CG248" s="11">
        <f t="shared" si="44"/>
        <v>42</v>
      </c>
      <c r="CH248" s="11">
        <f t="shared" si="44"/>
        <v>308362</v>
      </c>
      <c r="CI248" s="11">
        <f t="shared" si="44"/>
        <v>48</v>
      </c>
      <c r="CJ248" s="17">
        <f t="shared" si="44"/>
        <v>420678</v>
      </c>
      <c r="CK248" s="198">
        <f>(SUM(CK7:CK62))/G248</f>
        <v>44.25</v>
      </c>
      <c r="CL248" s="128">
        <f>SUM(CL7:CL62)</f>
        <v>10</v>
      </c>
      <c r="CM248" s="23">
        <f>SUM(CM7:CM62)</f>
        <v>55619.680000000008</v>
      </c>
      <c r="CN248" s="169"/>
      <c r="CO248" s="128">
        <f>SUM(CO7:CO62)</f>
        <v>9</v>
      </c>
      <c r="CP248" s="23">
        <f>SUM(CP7:CP62)</f>
        <v>48554.82</v>
      </c>
      <c r="CQ248" s="169"/>
      <c r="CR248" s="11">
        <f t="shared" ref="CR248:DS248" si="45">SUM(CR7:CR62)</f>
        <v>48</v>
      </c>
      <c r="CS248" s="11">
        <f t="shared" si="45"/>
        <v>2</v>
      </c>
      <c r="CT248" s="11">
        <f t="shared" si="45"/>
        <v>2</v>
      </c>
      <c r="CU248" s="11">
        <f t="shared" si="45"/>
        <v>5</v>
      </c>
      <c r="CV248" s="11">
        <f t="shared" si="45"/>
        <v>116</v>
      </c>
      <c r="CW248" s="11">
        <f t="shared" si="45"/>
        <v>0</v>
      </c>
      <c r="CX248" s="11">
        <f t="shared" si="45"/>
        <v>0</v>
      </c>
      <c r="CY248" s="11">
        <f t="shared" si="45"/>
        <v>8</v>
      </c>
      <c r="CZ248" s="11">
        <f t="shared" si="45"/>
        <v>5</v>
      </c>
      <c r="DA248" s="11">
        <f t="shared" si="45"/>
        <v>6993</v>
      </c>
      <c r="DB248" s="11">
        <f t="shared" si="45"/>
        <v>5383</v>
      </c>
      <c r="DC248" s="11">
        <f t="shared" si="45"/>
        <v>1575</v>
      </c>
      <c r="DD248" s="11">
        <f t="shared" si="45"/>
        <v>4131</v>
      </c>
      <c r="DE248" s="11">
        <f t="shared" si="45"/>
        <v>2383</v>
      </c>
      <c r="DF248" s="11">
        <f t="shared" si="45"/>
        <v>7706</v>
      </c>
      <c r="DG248" s="11">
        <f t="shared" si="45"/>
        <v>2897</v>
      </c>
      <c r="DH248" s="11">
        <f t="shared" si="45"/>
        <v>2383</v>
      </c>
      <c r="DI248" s="11">
        <f t="shared" si="45"/>
        <v>7706</v>
      </c>
      <c r="DJ248" s="11">
        <f t="shared" si="45"/>
        <v>2964</v>
      </c>
      <c r="DK248" s="11">
        <f t="shared" si="45"/>
        <v>551</v>
      </c>
      <c r="DL248" s="11">
        <f t="shared" si="45"/>
        <v>249</v>
      </c>
      <c r="DM248" s="11">
        <f t="shared" si="45"/>
        <v>1631</v>
      </c>
      <c r="DN248" s="11">
        <f t="shared" si="45"/>
        <v>262</v>
      </c>
      <c r="DO248" s="11">
        <f t="shared" si="45"/>
        <v>249</v>
      </c>
      <c r="DP248" s="11">
        <f t="shared" si="45"/>
        <v>1632</v>
      </c>
      <c r="DQ248" s="11">
        <f t="shared" si="45"/>
        <v>283</v>
      </c>
      <c r="DR248" s="11">
        <f t="shared" si="45"/>
        <v>6993</v>
      </c>
      <c r="DS248" s="11">
        <f t="shared" si="45"/>
        <v>5737</v>
      </c>
    </row>
    <row r="249" spans="1:123" s="129" customFormat="1" ht="13.15" customHeight="1">
      <c r="B249" s="130"/>
      <c r="C249" s="131"/>
      <c r="D249" s="132"/>
      <c r="E249" s="133"/>
      <c r="F249" s="133"/>
      <c r="G249" s="134"/>
      <c r="H249" s="132"/>
      <c r="I249" s="132"/>
      <c r="J249" s="134"/>
      <c r="K249" s="134"/>
      <c r="L249" s="134"/>
      <c r="M249" s="134"/>
      <c r="N249" s="134"/>
      <c r="O249" s="134"/>
      <c r="P249" s="134"/>
      <c r="Q249" s="135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134"/>
      <c r="AF249" s="134"/>
      <c r="AG249" s="134"/>
      <c r="AH249" s="134"/>
      <c r="AI249" s="134"/>
      <c r="AJ249" s="134"/>
      <c r="AK249" s="134"/>
      <c r="AL249" s="134"/>
      <c r="AM249" s="134"/>
      <c r="AN249" s="134"/>
      <c r="AO249" s="134"/>
      <c r="AP249" s="134"/>
      <c r="AQ249" s="134"/>
      <c r="AR249" s="134"/>
      <c r="AS249" s="134"/>
      <c r="AT249" s="134"/>
      <c r="AU249" s="134"/>
      <c r="AV249" s="134"/>
      <c r="AW249" s="134"/>
      <c r="AX249" s="134"/>
      <c r="AY249" s="134"/>
      <c r="AZ249" s="134"/>
      <c r="BA249" s="134"/>
      <c r="BB249" s="134"/>
      <c r="BC249" s="134"/>
      <c r="BD249" s="134"/>
      <c r="BE249" s="134"/>
      <c r="BF249" s="134"/>
      <c r="BG249" s="134"/>
      <c r="BH249" s="134"/>
      <c r="BI249" s="134"/>
      <c r="BJ249" s="134"/>
      <c r="BK249" s="134"/>
      <c r="BL249" s="134"/>
      <c r="BM249" s="134"/>
      <c r="BN249" s="134"/>
      <c r="BO249" s="134"/>
      <c r="BP249" s="134"/>
      <c r="BQ249" s="134"/>
      <c r="BR249" s="134"/>
      <c r="BS249" s="134"/>
      <c r="BT249" s="134"/>
      <c r="BU249" s="134"/>
      <c r="BV249" s="134"/>
      <c r="BW249" s="134"/>
      <c r="BX249" s="134"/>
      <c r="BY249" s="134"/>
      <c r="BZ249" s="134"/>
      <c r="CA249" s="134"/>
      <c r="CB249" s="134"/>
      <c r="CC249" s="134"/>
      <c r="CD249" s="134"/>
      <c r="CE249" s="134"/>
      <c r="CF249" s="134"/>
      <c r="CG249" s="134"/>
      <c r="CH249" s="134"/>
      <c r="CI249" s="134"/>
      <c r="CJ249" s="134"/>
      <c r="CK249" s="199"/>
      <c r="CL249" s="137"/>
      <c r="CM249" s="137"/>
      <c r="CN249" s="26"/>
      <c r="CO249" s="137"/>
      <c r="CP249" s="137"/>
      <c r="CQ249" s="26"/>
      <c r="CR249" s="134"/>
      <c r="CS249" s="134"/>
      <c r="CT249" s="134"/>
      <c r="CU249" s="134"/>
      <c r="CV249" s="134"/>
      <c r="CW249" s="134"/>
      <c r="CX249" s="134"/>
      <c r="CY249" s="134"/>
      <c r="CZ249" s="134"/>
      <c r="DA249" s="134"/>
      <c r="DB249" s="134"/>
      <c r="DC249" s="134"/>
      <c r="DD249" s="134"/>
      <c r="DE249" s="134"/>
      <c r="DF249" s="134"/>
      <c r="DG249" s="134"/>
      <c r="DH249" s="134"/>
      <c r="DI249" s="134"/>
      <c r="DJ249" s="134"/>
      <c r="DK249" s="134"/>
      <c r="DL249" s="134"/>
      <c r="DM249" s="134"/>
      <c r="DN249" s="134"/>
      <c r="DO249" s="134"/>
      <c r="DP249" s="134"/>
      <c r="DQ249" s="134"/>
      <c r="DR249" s="134"/>
      <c r="DS249" s="134"/>
    </row>
    <row r="250" spans="1:123" s="138" customFormat="1" ht="13.9" customHeight="1">
      <c r="B250" s="139"/>
      <c r="C250" s="140" t="s">
        <v>15</v>
      </c>
      <c r="D250" s="141"/>
      <c r="E250" s="142"/>
      <c r="F250" s="142"/>
      <c r="G250" s="143">
        <f>G251+G252+G253+G254+G255+G256+G257+G258</f>
        <v>48</v>
      </c>
      <c r="H250" s="141"/>
      <c r="I250" s="141"/>
      <c r="J250" s="143">
        <f t="shared" ref="J250:BW250" si="46">J251+J252+J253+J254+J255+J256+J257+J258</f>
        <v>1690597</v>
      </c>
      <c r="K250" s="143">
        <f t="shared" si="46"/>
        <v>85133</v>
      </c>
      <c r="L250" s="143">
        <f t="shared" si="46"/>
        <v>67322</v>
      </c>
      <c r="M250" s="143">
        <f t="shared" si="46"/>
        <v>29039</v>
      </c>
      <c r="N250" s="143">
        <f t="shared" si="46"/>
        <v>7008</v>
      </c>
      <c r="O250" s="143">
        <f t="shared" si="46"/>
        <v>13579</v>
      </c>
      <c r="P250" s="143">
        <f t="shared" si="46"/>
        <v>7080</v>
      </c>
      <c r="Q250" s="136">
        <f t="shared" si="46"/>
        <v>12379</v>
      </c>
      <c r="R250" s="143">
        <f t="shared" si="46"/>
        <v>332665.77999999997</v>
      </c>
      <c r="S250" s="143">
        <f t="shared" si="46"/>
        <v>208565.9</v>
      </c>
      <c r="T250" s="143">
        <f t="shared" si="46"/>
        <v>4861</v>
      </c>
      <c r="U250" s="220">
        <f t="shared" ref="U250:U258" si="47">V250/R250</f>
        <v>0.81461035757870881</v>
      </c>
      <c r="V250" s="143">
        <f t="shared" si="46"/>
        <v>270992.99000000005</v>
      </c>
      <c r="W250" s="143">
        <f t="shared" si="46"/>
        <v>167103.82</v>
      </c>
      <c r="X250" s="143">
        <f t="shared" si="46"/>
        <v>2146</v>
      </c>
      <c r="Y250" s="220">
        <f t="shared" ref="Y250" si="48">Z250/V250</f>
        <v>0.22474378396282499</v>
      </c>
      <c r="Z250" s="143">
        <f t="shared" si="46"/>
        <v>60903.990000000005</v>
      </c>
      <c r="AA250" s="143">
        <f t="shared" si="46"/>
        <v>40881.4</v>
      </c>
      <c r="AB250" s="143">
        <f t="shared" si="46"/>
        <v>1</v>
      </c>
      <c r="AC250" s="143">
        <f t="shared" si="46"/>
        <v>768.8</v>
      </c>
      <c r="AD250" s="143">
        <f t="shared" si="46"/>
        <v>580.67999999999995</v>
      </c>
      <c r="AE250" s="143">
        <f t="shared" si="46"/>
        <v>37646.579999999994</v>
      </c>
      <c r="AF250" s="143">
        <f t="shared" si="46"/>
        <v>20787.359999999997</v>
      </c>
      <c r="AG250" s="143">
        <f t="shared" si="46"/>
        <v>0</v>
      </c>
      <c r="AH250" s="143">
        <f t="shared" si="46"/>
        <v>20787.359999999997</v>
      </c>
      <c r="AI250" s="143">
        <f t="shared" si="46"/>
        <v>16859.220000000005</v>
      </c>
      <c r="AJ250" s="143">
        <f t="shared" si="46"/>
        <v>0</v>
      </c>
      <c r="AK250" s="143">
        <f t="shared" si="46"/>
        <v>370312.36000000004</v>
      </c>
      <c r="AL250" s="143">
        <f t="shared" si="46"/>
        <v>0</v>
      </c>
      <c r="AM250" s="143">
        <f t="shared" si="46"/>
        <v>84</v>
      </c>
      <c r="AN250" s="143">
        <f t="shared" si="46"/>
        <v>194</v>
      </c>
      <c r="AO250" s="143">
        <f t="shared" si="46"/>
        <v>77</v>
      </c>
      <c r="AP250" s="143">
        <f t="shared" si="46"/>
        <v>0</v>
      </c>
      <c r="AQ250" s="143">
        <f t="shared" si="46"/>
        <v>108</v>
      </c>
      <c r="AR250" s="143">
        <f t="shared" si="46"/>
        <v>277937</v>
      </c>
      <c r="AS250" s="143">
        <f t="shared" si="46"/>
        <v>25765</v>
      </c>
      <c r="AT250" s="143">
        <f t="shared" si="46"/>
        <v>23436</v>
      </c>
      <c r="AU250" s="143">
        <f t="shared" si="46"/>
        <v>18749</v>
      </c>
      <c r="AV250" s="143">
        <f t="shared" si="46"/>
        <v>19379</v>
      </c>
      <c r="AW250" s="143">
        <f t="shared" si="46"/>
        <v>420678</v>
      </c>
      <c r="AX250" s="143">
        <f t="shared" si="46"/>
        <v>112316</v>
      </c>
      <c r="AY250" s="143">
        <f t="shared" si="46"/>
        <v>308362</v>
      </c>
      <c r="AZ250" s="143">
        <f t="shared" si="46"/>
        <v>77695</v>
      </c>
      <c r="BA250" s="143">
        <f t="shared" si="46"/>
        <v>10837</v>
      </c>
      <c r="BB250" s="143">
        <f t="shared" si="46"/>
        <v>82081</v>
      </c>
      <c r="BC250" s="143">
        <f t="shared" si="46"/>
        <v>82081</v>
      </c>
      <c r="BD250" s="143">
        <f t="shared" si="46"/>
        <v>1994</v>
      </c>
      <c r="BE250" s="143">
        <f t="shared" si="46"/>
        <v>876</v>
      </c>
      <c r="BF250" s="143">
        <f t="shared" si="46"/>
        <v>18166</v>
      </c>
      <c r="BG250" s="143">
        <f t="shared" si="46"/>
        <v>49332</v>
      </c>
      <c r="BH250" s="143">
        <f t="shared" si="46"/>
        <v>14</v>
      </c>
      <c r="BI250" s="143">
        <f t="shared" si="46"/>
        <v>501420</v>
      </c>
      <c r="BJ250" s="143">
        <f t="shared" si="46"/>
        <v>119924</v>
      </c>
      <c r="BK250" s="143">
        <f t="shared" si="46"/>
        <v>6220</v>
      </c>
      <c r="BL250" s="143">
        <f t="shared" si="46"/>
        <v>25</v>
      </c>
      <c r="BM250" s="143">
        <f t="shared" si="46"/>
        <v>148594.87999999998</v>
      </c>
      <c r="BN250" s="143">
        <f t="shared" si="46"/>
        <v>89488.290000000023</v>
      </c>
      <c r="BO250" s="143">
        <f t="shared" si="46"/>
        <v>20</v>
      </c>
      <c r="BP250" s="143">
        <f t="shared" si="46"/>
        <v>136403.19999999998</v>
      </c>
      <c r="BQ250" s="143">
        <f t="shared" si="46"/>
        <v>89844.51</v>
      </c>
      <c r="BR250" s="143">
        <f t="shared" si="46"/>
        <v>3</v>
      </c>
      <c r="BS250" s="143">
        <f t="shared" si="46"/>
        <v>47667.700000000004</v>
      </c>
      <c r="BT250" s="143">
        <f t="shared" si="46"/>
        <v>29233.1</v>
      </c>
      <c r="BU250" s="143">
        <f t="shared" si="46"/>
        <v>0</v>
      </c>
      <c r="BV250" s="143">
        <f t="shared" si="46"/>
        <v>132</v>
      </c>
      <c r="BW250" s="143">
        <f t="shared" si="46"/>
        <v>48682</v>
      </c>
      <c r="BX250" s="143">
        <f t="shared" ref="BX250:CM250" si="49">BX251+BX252+BX253+BX254+BX255+BX256+BX257+BX258</f>
        <v>153080</v>
      </c>
      <c r="BY250" s="143">
        <f t="shared" si="49"/>
        <v>40</v>
      </c>
      <c r="BZ250" s="143">
        <f t="shared" si="49"/>
        <v>147822</v>
      </c>
      <c r="CA250" s="143">
        <f t="shared" si="49"/>
        <v>66835.27</v>
      </c>
      <c r="CB250" s="143">
        <f t="shared" si="49"/>
        <v>56570.860000000008</v>
      </c>
      <c r="CC250" s="143">
        <f t="shared" si="49"/>
        <v>202041</v>
      </c>
      <c r="CD250" s="143">
        <f t="shared" si="49"/>
        <v>116908</v>
      </c>
      <c r="CE250" s="143">
        <f t="shared" si="49"/>
        <v>6</v>
      </c>
      <c r="CF250" s="143">
        <f t="shared" si="49"/>
        <v>112316</v>
      </c>
      <c r="CG250" s="143">
        <f t="shared" si="49"/>
        <v>42</v>
      </c>
      <c r="CH250" s="143">
        <f t="shared" si="49"/>
        <v>308362</v>
      </c>
      <c r="CI250" s="143">
        <f t="shared" si="49"/>
        <v>48</v>
      </c>
      <c r="CJ250" s="143">
        <f t="shared" si="49"/>
        <v>420678</v>
      </c>
      <c r="CK250" s="200">
        <f t="shared" si="49"/>
        <v>2124</v>
      </c>
      <c r="CL250" s="144">
        <f t="shared" si="49"/>
        <v>10</v>
      </c>
      <c r="CM250" s="144">
        <f t="shared" si="49"/>
        <v>55619.679999999993</v>
      </c>
      <c r="CN250" s="27"/>
      <c r="CO250" s="144">
        <f t="shared" ref="CO250:CP250" si="50">CO251+CO252+CO253+CO254+CO255+CO256+CO257+CO258</f>
        <v>9</v>
      </c>
      <c r="CP250" s="144">
        <f t="shared" si="50"/>
        <v>48554.820000000007</v>
      </c>
      <c r="CQ250" s="27"/>
      <c r="CR250" s="143">
        <f t="shared" ref="CR250:DS250" si="51">CR251+CR252+CR253+CR254+CR255+CR256+CR257+CR258</f>
        <v>48</v>
      </c>
      <c r="CS250" s="143">
        <f t="shared" si="51"/>
        <v>2</v>
      </c>
      <c r="CT250" s="143">
        <f t="shared" si="51"/>
        <v>2</v>
      </c>
      <c r="CU250" s="143">
        <f t="shared" si="51"/>
        <v>5</v>
      </c>
      <c r="CV250" s="143">
        <f t="shared" si="51"/>
        <v>116</v>
      </c>
      <c r="CW250" s="143">
        <f t="shared" si="51"/>
        <v>0</v>
      </c>
      <c r="CX250" s="143">
        <f t="shared" si="51"/>
        <v>0</v>
      </c>
      <c r="CY250" s="143">
        <f t="shared" si="51"/>
        <v>8</v>
      </c>
      <c r="CZ250" s="143">
        <f t="shared" si="51"/>
        <v>5</v>
      </c>
      <c r="DA250" s="143">
        <f t="shared" si="51"/>
        <v>6993</v>
      </c>
      <c r="DB250" s="143">
        <f t="shared" si="51"/>
        <v>5383</v>
      </c>
      <c r="DC250" s="143">
        <f t="shared" si="51"/>
        <v>1575</v>
      </c>
      <c r="DD250" s="143">
        <f t="shared" si="51"/>
        <v>4131</v>
      </c>
      <c r="DE250" s="143">
        <f t="shared" si="51"/>
        <v>2383</v>
      </c>
      <c r="DF250" s="143">
        <f t="shared" si="51"/>
        <v>7706</v>
      </c>
      <c r="DG250" s="143">
        <f t="shared" si="51"/>
        <v>2897</v>
      </c>
      <c r="DH250" s="143">
        <f t="shared" si="51"/>
        <v>2383</v>
      </c>
      <c r="DI250" s="143">
        <f t="shared" si="51"/>
        <v>7706</v>
      </c>
      <c r="DJ250" s="143">
        <f t="shared" si="51"/>
        <v>2964</v>
      </c>
      <c r="DK250" s="143">
        <f t="shared" si="51"/>
        <v>551</v>
      </c>
      <c r="DL250" s="143">
        <f t="shared" si="51"/>
        <v>249</v>
      </c>
      <c r="DM250" s="143">
        <f t="shared" si="51"/>
        <v>1631</v>
      </c>
      <c r="DN250" s="143">
        <f t="shared" si="51"/>
        <v>262</v>
      </c>
      <c r="DO250" s="143">
        <f t="shared" si="51"/>
        <v>249</v>
      </c>
      <c r="DP250" s="143">
        <f t="shared" si="51"/>
        <v>1632</v>
      </c>
      <c r="DQ250" s="143">
        <f t="shared" si="51"/>
        <v>283</v>
      </c>
      <c r="DR250" s="143">
        <f t="shared" si="51"/>
        <v>6993</v>
      </c>
      <c r="DS250" s="143">
        <f t="shared" si="51"/>
        <v>5737</v>
      </c>
    </row>
    <row r="251" spans="1:123" s="36" customFormat="1">
      <c r="B251" s="145"/>
      <c r="C251" s="146" t="s">
        <v>10</v>
      </c>
      <c r="D251" s="147"/>
      <c r="E251" s="148"/>
      <c r="F251" s="148"/>
      <c r="G251" s="149"/>
      <c r="H251" s="1">
        <v>5</v>
      </c>
      <c r="I251" s="150"/>
      <c r="J251" s="149"/>
      <c r="K251" s="149"/>
      <c r="L251" s="149"/>
      <c r="M251" s="149"/>
      <c r="N251" s="149"/>
      <c r="O251" s="149"/>
      <c r="P251" s="149"/>
      <c r="Q251" s="135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/>
      <c r="AF251" s="149"/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  <c r="BI251" s="149"/>
      <c r="BJ251" s="149"/>
      <c r="BK251" s="149"/>
      <c r="BL251" s="149"/>
      <c r="BM251" s="149"/>
      <c r="BN251" s="149"/>
      <c r="BO251" s="149"/>
      <c r="BP251" s="149"/>
      <c r="BQ251" s="149"/>
      <c r="BR251" s="149"/>
      <c r="BS251" s="149"/>
      <c r="BT251" s="149"/>
      <c r="BU251" s="149"/>
      <c r="BV251" s="149"/>
      <c r="BW251" s="149"/>
      <c r="BX251" s="149"/>
      <c r="BY251" s="149"/>
      <c r="BZ251" s="149"/>
      <c r="CA251" s="149"/>
      <c r="CB251" s="149"/>
      <c r="CC251" s="149"/>
      <c r="CD251" s="149"/>
      <c r="CE251" s="149"/>
      <c r="CF251" s="149"/>
      <c r="CG251" s="149"/>
      <c r="CH251" s="149"/>
      <c r="CI251" s="149"/>
      <c r="CJ251" s="149"/>
      <c r="CK251" s="201"/>
      <c r="CL251" s="151"/>
      <c r="CM251" s="151"/>
      <c r="CN251" s="28"/>
      <c r="CO251" s="151"/>
      <c r="CP251" s="151"/>
      <c r="CQ251" s="28"/>
      <c r="CR251" s="149"/>
      <c r="CS251" s="149"/>
      <c r="CT251" s="149"/>
      <c r="CU251" s="149"/>
      <c r="CV251" s="149"/>
      <c r="CW251" s="149"/>
      <c r="CX251" s="149"/>
      <c r="CY251" s="149"/>
      <c r="CZ251" s="149"/>
      <c r="DA251" s="149"/>
      <c r="DB251" s="149"/>
      <c r="DC251" s="149"/>
      <c r="DD251" s="149"/>
      <c r="DE251" s="149"/>
      <c r="DF251" s="149"/>
      <c r="DG251" s="149"/>
      <c r="DH251" s="149"/>
      <c r="DI251" s="149"/>
      <c r="DJ251" s="149"/>
      <c r="DK251" s="149"/>
      <c r="DL251" s="149"/>
      <c r="DM251" s="149"/>
      <c r="DN251" s="149"/>
      <c r="DO251" s="149"/>
      <c r="DP251" s="149"/>
      <c r="DQ251" s="149"/>
      <c r="DR251" s="149"/>
      <c r="DS251" s="149"/>
    </row>
    <row r="252" spans="1:123" s="36" customFormat="1">
      <c r="B252" s="145"/>
      <c r="C252" s="146" t="s">
        <v>11</v>
      </c>
      <c r="D252" s="147"/>
      <c r="E252" s="148"/>
      <c r="F252" s="148"/>
      <c r="G252" s="149">
        <f>G37+G38</f>
        <v>2</v>
      </c>
      <c r="H252" s="1">
        <v>9</v>
      </c>
      <c r="I252" s="150"/>
      <c r="J252" s="149">
        <f t="shared" ref="J252:BW252" si="52">J37+J38</f>
        <v>32845</v>
      </c>
      <c r="K252" s="149">
        <f t="shared" si="52"/>
        <v>2415</v>
      </c>
      <c r="L252" s="149">
        <f t="shared" si="52"/>
        <v>0</v>
      </c>
      <c r="M252" s="149">
        <f t="shared" si="52"/>
        <v>2302</v>
      </c>
      <c r="N252" s="149">
        <f t="shared" si="52"/>
        <v>159</v>
      </c>
      <c r="O252" s="149">
        <f t="shared" si="52"/>
        <v>351</v>
      </c>
      <c r="P252" s="149">
        <f t="shared" si="52"/>
        <v>163</v>
      </c>
      <c r="Q252" s="135">
        <f t="shared" si="52"/>
        <v>289</v>
      </c>
      <c r="R252" s="152">
        <f t="shared" si="52"/>
        <v>8299.7000000000007</v>
      </c>
      <c r="S252" s="149">
        <f t="shared" si="52"/>
        <v>4773.3999999999996</v>
      </c>
      <c r="T252" s="149">
        <f t="shared" si="52"/>
        <v>141</v>
      </c>
      <c r="U252" s="217">
        <f t="shared" si="47"/>
        <v>0.87497138450787371</v>
      </c>
      <c r="V252" s="149">
        <f t="shared" si="52"/>
        <v>7262</v>
      </c>
      <c r="W252" s="149">
        <f t="shared" si="52"/>
        <v>4161.1000000000004</v>
      </c>
      <c r="X252" s="149">
        <f t="shared" si="52"/>
        <v>18</v>
      </c>
      <c r="Y252" s="217">
        <f t="shared" ref="Y252:Y258" si="53">Z252/R252</f>
        <v>0.12502861549212624</v>
      </c>
      <c r="Z252" s="149">
        <f t="shared" si="52"/>
        <v>1037.7000000000003</v>
      </c>
      <c r="AA252" s="149">
        <f t="shared" si="52"/>
        <v>612.29999999999995</v>
      </c>
      <c r="AB252" s="149">
        <f t="shared" si="52"/>
        <v>0</v>
      </c>
      <c r="AC252" s="149">
        <f t="shared" si="52"/>
        <v>0</v>
      </c>
      <c r="AD252" s="149">
        <f t="shared" si="52"/>
        <v>0</v>
      </c>
      <c r="AE252" s="152">
        <f t="shared" si="52"/>
        <v>1347.5</v>
      </c>
      <c r="AF252" s="149">
        <f t="shared" si="52"/>
        <v>945.7</v>
      </c>
      <c r="AG252" s="149">
        <f t="shared" si="52"/>
        <v>0</v>
      </c>
      <c r="AH252" s="149">
        <f t="shared" si="52"/>
        <v>945.7</v>
      </c>
      <c r="AI252" s="149">
        <f t="shared" si="52"/>
        <v>401.8</v>
      </c>
      <c r="AJ252" s="149">
        <f t="shared" si="52"/>
        <v>0</v>
      </c>
      <c r="AK252" s="149">
        <f t="shared" si="52"/>
        <v>9647.2000000000007</v>
      </c>
      <c r="AL252" s="149">
        <f t="shared" si="52"/>
        <v>0</v>
      </c>
      <c r="AM252" s="149">
        <f t="shared" si="52"/>
        <v>5</v>
      </c>
      <c r="AN252" s="149">
        <f t="shared" si="52"/>
        <v>5</v>
      </c>
      <c r="AO252" s="149">
        <f t="shared" si="52"/>
        <v>5</v>
      </c>
      <c r="AP252" s="149">
        <f t="shared" si="52"/>
        <v>0</v>
      </c>
      <c r="AQ252" s="149">
        <f t="shared" si="52"/>
        <v>5</v>
      </c>
      <c r="AR252" s="149">
        <f t="shared" si="52"/>
        <v>9360</v>
      </c>
      <c r="AS252" s="149">
        <f t="shared" si="52"/>
        <v>1166</v>
      </c>
      <c r="AT252" s="149">
        <f t="shared" si="52"/>
        <v>555</v>
      </c>
      <c r="AU252" s="149">
        <f t="shared" si="52"/>
        <v>496</v>
      </c>
      <c r="AV252" s="149">
        <f t="shared" si="52"/>
        <v>350</v>
      </c>
      <c r="AW252" s="149">
        <f t="shared" si="52"/>
        <v>10600</v>
      </c>
      <c r="AX252" s="149">
        <f t="shared" si="52"/>
        <v>0</v>
      </c>
      <c r="AY252" s="149">
        <f t="shared" si="52"/>
        <v>10600</v>
      </c>
      <c r="AZ252" s="149">
        <f t="shared" si="52"/>
        <v>0</v>
      </c>
      <c r="BA252" s="149">
        <f t="shared" si="52"/>
        <v>469</v>
      </c>
      <c r="BB252" s="149">
        <f t="shared" si="52"/>
        <v>2090</v>
      </c>
      <c r="BC252" s="149">
        <f t="shared" si="52"/>
        <v>2090</v>
      </c>
      <c r="BD252" s="149">
        <f t="shared" si="52"/>
        <v>0</v>
      </c>
      <c r="BE252" s="149">
        <f t="shared" si="52"/>
        <v>10</v>
      </c>
      <c r="BF252" s="149">
        <f t="shared" si="52"/>
        <v>493</v>
      </c>
      <c r="BG252" s="149">
        <f t="shared" si="52"/>
        <v>1238</v>
      </c>
      <c r="BH252" s="149">
        <f t="shared" si="52"/>
        <v>0</v>
      </c>
      <c r="BI252" s="149">
        <f t="shared" si="52"/>
        <v>28500</v>
      </c>
      <c r="BJ252" s="149">
        <f t="shared" si="52"/>
        <v>8175</v>
      </c>
      <c r="BK252" s="149">
        <f t="shared" si="52"/>
        <v>225</v>
      </c>
      <c r="BL252" s="149">
        <f t="shared" si="52"/>
        <v>2</v>
      </c>
      <c r="BM252" s="149">
        <f t="shared" si="52"/>
        <v>8299.7000000000007</v>
      </c>
      <c r="BN252" s="149">
        <f t="shared" si="52"/>
        <v>4773.3999999999996</v>
      </c>
      <c r="BO252" s="149">
        <f t="shared" si="52"/>
        <v>0</v>
      </c>
      <c r="BP252" s="149">
        <f t="shared" si="52"/>
        <v>0</v>
      </c>
      <c r="BQ252" s="149">
        <f t="shared" si="52"/>
        <v>0</v>
      </c>
      <c r="BR252" s="149">
        <f t="shared" si="52"/>
        <v>0</v>
      </c>
      <c r="BS252" s="149">
        <f t="shared" si="52"/>
        <v>0</v>
      </c>
      <c r="BT252" s="149">
        <f t="shared" si="52"/>
        <v>0</v>
      </c>
      <c r="BU252" s="149">
        <f t="shared" si="52"/>
        <v>0</v>
      </c>
      <c r="BV252" s="149">
        <f t="shared" si="52"/>
        <v>4</v>
      </c>
      <c r="BW252" s="149">
        <f t="shared" si="52"/>
        <v>2090</v>
      </c>
      <c r="BX252" s="149">
        <f t="shared" ref="BX252:CM252" si="54">BX37+BX38</f>
        <v>17159</v>
      </c>
      <c r="BY252" s="149">
        <f t="shared" si="54"/>
        <v>0</v>
      </c>
      <c r="BZ252" s="149">
        <f t="shared" si="54"/>
        <v>9360</v>
      </c>
      <c r="CA252" s="149">
        <f t="shared" si="54"/>
        <v>3138.4000000000005</v>
      </c>
      <c r="CB252" s="149">
        <f t="shared" si="54"/>
        <v>1834.3000000000002</v>
      </c>
      <c r="CC252" s="149">
        <f t="shared" si="54"/>
        <v>6381</v>
      </c>
      <c r="CD252" s="149">
        <f t="shared" si="54"/>
        <v>3966</v>
      </c>
      <c r="CE252" s="149">
        <f t="shared" si="54"/>
        <v>0</v>
      </c>
      <c r="CF252" s="149">
        <f t="shared" si="54"/>
        <v>0</v>
      </c>
      <c r="CG252" s="149">
        <f t="shared" si="54"/>
        <v>2</v>
      </c>
      <c r="CH252" s="149">
        <f t="shared" si="54"/>
        <v>10600</v>
      </c>
      <c r="CI252" s="149">
        <f t="shared" si="54"/>
        <v>2</v>
      </c>
      <c r="CJ252" s="149">
        <f t="shared" si="54"/>
        <v>10600</v>
      </c>
      <c r="CK252" s="201">
        <f t="shared" si="54"/>
        <v>57</v>
      </c>
      <c r="CL252" s="151">
        <f t="shared" si="54"/>
        <v>0</v>
      </c>
      <c r="CM252" s="151">
        <f t="shared" si="54"/>
        <v>0</v>
      </c>
      <c r="CN252" s="28"/>
      <c r="CO252" s="151">
        <f t="shared" ref="CO252:CP252" si="55">CO37+CO38</f>
        <v>0</v>
      </c>
      <c r="CP252" s="151">
        <f t="shared" si="55"/>
        <v>0</v>
      </c>
      <c r="CQ252" s="28"/>
      <c r="CR252" s="149">
        <f t="shared" ref="CR252:DS252" si="56">CR37+CR38</f>
        <v>2</v>
      </c>
      <c r="CS252" s="149">
        <f t="shared" si="56"/>
        <v>0</v>
      </c>
      <c r="CT252" s="149">
        <f t="shared" si="56"/>
        <v>0</v>
      </c>
      <c r="CU252" s="149">
        <f t="shared" si="56"/>
        <v>0</v>
      </c>
      <c r="CV252" s="149">
        <f t="shared" si="56"/>
        <v>4</v>
      </c>
      <c r="CW252" s="149">
        <f t="shared" si="56"/>
        <v>0</v>
      </c>
      <c r="CX252" s="149">
        <f t="shared" si="56"/>
        <v>0</v>
      </c>
      <c r="CY252" s="149">
        <f t="shared" si="56"/>
        <v>0</v>
      </c>
      <c r="CZ252" s="149">
        <f t="shared" si="56"/>
        <v>0</v>
      </c>
      <c r="DA252" s="149">
        <f t="shared" si="56"/>
        <v>159</v>
      </c>
      <c r="DB252" s="149">
        <f t="shared" si="56"/>
        <v>148</v>
      </c>
      <c r="DC252" s="149">
        <f t="shared" si="56"/>
        <v>11</v>
      </c>
      <c r="DD252" s="149">
        <f t="shared" si="56"/>
        <v>135</v>
      </c>
      <c r="DE252" s="149">
        <f t="shared" si="56"/>
        <v>69</v>
      </c>
      <c r="DF252" s="149">
        <f t="shared" si="56"/>
        <v>230</v>
      </c>
      <c r="DG252" s="149">
        <f t="shared" si="56"/>
        <v>106</v>
      </c>
      <c r="DH252" s="149">
        <f t="shared" si="56"/>
        <v>69</v>
      </c>
      <c r="DI252" s="149">
        <f t="shared" si="56"/>
        <v>230</v>
      </c>
      <c r="DJ252" s="149">
        <f t="shared" si="56"/>
        <v>106</v>
      </c>
      <c r="DK252" s="149">
        <f t="shared" si="56"/>
        <v>10</v>
      </c>
      <c r="DL252" s="149">
        <f t="shared" si="56"/>
        <v>1</v>
      </c>
      <c r="DM252" s="149">
        <f t="shared" si="56"/>
        <v>12</v>
      </c>
      <c r="DN252" s="149">
        <f t="shared" si="56"/>
        <v>2</v>
      </c>
      <c r="DO252" s="149">
        <f t="shared" si="56"/>
        <v>1</v>
      </c>
      <c r="DP252" s="149">
        <f t="shared" si="56"/>
        <v>12</v>
      </c>
      <c r="DQ252" s="149">
        <f t="shared" si="56"/>
        <v>2</v>
      </c>
      <c r="DR252" s="149">
        <f t="shared" si="56"/>
        <v>159</v>
      </c>
      <c r="DS252" s="149">
        <f t="shared" si="56"/>
        <v>159</v>
      </c>
    </row>
    <row r="253" spans="1:123" s="36" customFormat="1">
      <c r="B253" s="145"/>
      <c r="C253" s="146" t="s">
        <v>12</v>
      </c>
      <c r="D253" s="147"/>
      <c r="E253" s="148"/>
      <c r="F253" s="148"/>
      <c r="G253" s="149">
        <f>G9</f>
        <v>1</v>
      </c>
      <c r="H253" s="1">
        <v>9</v>
      </c>
      <c r="I253" s="150"/>
      <c r="J253" s="149">
        <f t="shared" ref="J253:BW253" si="57">J9</f>
        <v>17018</v>
      </c>
      <c r="K253" s="149">
        <f t="shared" si="57"/>
        <v>706</v>
      </c>
      <c r="L253" s="149">
        <f t="shared" si="57"/>
        <v>0</v>
      </c>
      <c r="M253" s="149">
        <f t="shared" si="57"/>
        <v>695</v>
      </c>
      <c r="N253" s="149">
        <f t="shared" si="57"/>
        <v>62</v>
      </c>
      <c r="O253" s="149">
        <f t="shared" si="57"/>
        <v>169</v>
      </c>
      <c r="P253" s="149">
        <f t="shared" si="57"/>
        <v>62</v>
      </c>
      <c r="Q253" s="135">
        <f t="shared" si="57"/>
        <v>141</v>
      </c>
      <c r="R253" s="152">
        <f t="shared" si="57"/>
        <v>4417.7</v>
      </c>
      <c r="S253" s="149">
        <f t="shared" si="57"/>
        <v>2632.7</v>
      </c>
      <c r="T253" s="149">
        <f t="shared" si="57"/>
        <v>60</v>
      </c>
      <c r="U253" s="217">
        <f t="shared" si="47"/>
        <v>0.97387780971999016</v>
      </c>
      <c r="V253" s="149">
        <f t="shared" si="57"/>
        <v>4302.3</v>
      </c>
      <c r="W253" s="149">
        <f t="shared" si="57"/>
        <v>2569.3999999999996</v>
      </c>
      <c r="X253" s="149">
        <f t="shared" si="57"/>
        <v>2</v>
      </c>
      <c r="Y253" s="217">
        <f t="shared" si="53"/>
        <v>2.6122190280009963E-2</v>
      </c>
      <c r="Z253" s="149">
        <f t="shared" si="57"/>
        <v>115.4</v>
      </c>
      <c r="AA253" s="149">
        <f t="shared" si="57"/>
        <v>63.3</v>
      </c>
      <c r="AB253" s="149">
        <f t="shared" si="57"/>
        <v>0</v>
      </c>
      <c r="AC253" s="149">
        <f t="shared" si="57"/>
        <v>0</v>
      </c>
      <c r="AD253" s="149">
        <f t="shared" si="57"/>
        <v>0</v>
      </c>
      <c r="AE253" s="152">
        <f t="shared" si="57"/>
        <v>0</v>
      </c>
      <c r="AF253" s="149">
        <f t="shared" si="57"/>
        <v>0</v>
      </c>
      <c r="AG253" s="149">
        <f t="shared" si="57"/>
        <v>0</v>
      </c>
      <c r="AH253" s="149">
        <f t="shared" si="57"/>
        <v>0</v>
      </c>
      <c r="AI253" s="149">
        <f t="shared" si="57"/>
        <v>0</v>
      </c>
      <c r="AJ253" s="149">
        <f t="shared" si="57"/>
        <v>0</v>
      </c>
      <c r="AK253" s="149">
        <f t="shared" si="57"/>
        <v>4417.7</v>
      </c>
      <c r="AL253" s="149">
        <f t="shared" si="57"/>
        <v>0</v>
      </c>
      <c r="AM253" s="149">
        <f t="shared" si="57"/>
        <v>2</v>
      </c>
      <c r="AN253" s="149">
        <f t="shared" si="57"/>
        <v>2</v>
      </c>
      <c r="AO253" s="149">
        <f t="shared" si="57"/>
        <v>2</v>
      </c>
      <c r="AP253" s="149">
        <f t="shared" si="57"/>
        <v>0</v>
      </c>
      <c r="AQ253" s="149">
        <f t="shared" si="57"/>
        <v>2</v>
      </c>
      <c r="AR253" s="149">
        <f t="shared" si="57"/>
        <v>3930</v>
      </c>
      <c r="AS253" s="149">
        <f t="shared" si="57"/>
        <v>0</v>
      </c>
      <c r="AT253" s="149">
        <f t="shared" si="57"/>
        <v>262</v>
      </c>
      <c r="AU253" s="149">
        <f t="shared" si="57"/>
        <v>157</v>
      </c>
      <c r="AV253" s="149">
        <f t="shared" si="57"/>
        <v>140</v>
      </c>
      <c r="AW253" s="149">
        <f t="shared" si="57"/>
        <v>7246</v>
      </c>
      <c r="AX253" s="149">
        <f t="shared" si="57"/>
        <v>7246</v>
      </c>
      <c r="AY253" s="149">
        <f t="shared" si="57"/>
        <v>0</v>
      </c>
      <c r="AZ253" s="149">
        <f t="shared" si="57"/>
        <v>2140</v>
      </c>
      <c r="BA253" s="149">
        <f t="shared" si="57"/>
        <v>136</v>
      </c>
      <c r="BB253" s="149">
        <f t="shared" si="57"/>
        <v>663</v>
      </c>
      <c r="BC253" s="149">
        <f t="shared" si="57"/>
        <v>663</v>
      </c>
      <c r="BD253" s="149">
        <f t="shared" si="57"/>
        <v>34</v>
      </c>
      <c r="BE253" s="149">
        <f t="shared" si="57"/>
        <v>4</v>
      </c>
      <c r="BF253" s="149">
        <f t="shared" si="57"/>
        <v>231</v>
      </c>
      <c r="BG253" s="149">
        <f t="shared" si="57"/>
        <v>603</v>
      </c>
      <c r="BH253" s="149">
        <f t="shared" si="57"/>
        <v>2</v>
      </c>
      <c r="BI253" s="149">
        <f t="shared" si="57"/>
        <v>3570</v>
      </c>
      <c r="BJ253" s="149">
        <f t="shared" si="57"/>
        <v>1400</v>
      </c>
      <c r="BK253" s="149">
        <f t="shared" si="57"/>
        <v>90</v>
      </c>
      <c r="BL253" s="149">
        <f t="shared" si="57"/>
        <v>0</v>
      </c>
      <c r="BM253" s="149">
        <f t="shared" si="57"/>
        <v>0</v>
      </c>
      <c r="BN253" s="149">
        <f t="shared" si="57"/>
        <v>0</v>
      </c>
      <c r="BO253" s="149">
        <f t="shared" si="57"/>
        <v>1</v>
      </c>
      <c r="BP253" s="149">
        <f t="shared" si="57"/>
        <v>4417.7</v>
      </c>
      <c r="BQ253" s="149">
        <f t="shared" si="57"/>
        <v>2632.7</v>
      </c>
      <c r="BR253" s="149">
        <f t="shared" si="57"/>
        <v>0</v>
      </c>
      <c r="BS253" s="149">
        <f t="shared" si="57"/>
        <v>0</v>
      </c>
      <c r="BT253" s="149">
        <f t="shared" si="57"/>
        <v>0</v>
      </c>
      <c r="BU253" s="149">
        <f t="shared" si="57"/>
        <v>0</v>
      </c>
      <c r="BV253" s="149">
        <f t="shared" si="57"/>
        <v>2</v>
      </c>
      <c r="BW253" s="149">
        <f t="shared" si="57"/>
        <v>663</v>
      </c>
      <c r="BX253" s="149">
        <f t="shared" ref="BX253:CM253" si="58">BX9</f>
        <v>6863</v>
      </c>
      <c r="BY253" s="149">
        <f t="shared" si="58"/>
        <v>0</v>
      </c>
      <c r="BZ253" s="149">
        <f t="shared" si="58"/>
        <v>0</v>
      </c>
      <c r="CA253" s="149">
        <f t="shared" si="58"/>
        <v>1183.4000000000001</v>
      </c>
      <c r="CB253" s="149">
        <f t="shared" si="58"/>
        <v>517.70000000000005</v>
      </c>
      <c r="CC253" s="149">
        <f t="shared" si="58"/>
        <v>1646</v>
      </c>
      <c r="CD253" s="149">
        <f t="shared" si="58"/>
        <v>940</v>
      </c>
      <c r="CE253" s="149">
        <f t="shared" si="58"/>
        <v>1</v>
      </c>
      <c r="CF253" s="149">
        <f t="shared" si="58"/>
        <v>7246</v>
      </c>
      <c r="CG253" s="149" t="str">
        <f t="shared" si="58"/>
        <v>0</v>
      </c>
      <c r="CH253" s="149">
        <f t="shared" si="58"/>
        <v>0</v>
      </c>
      <c r="CI253" s="149">
        <f t="shared" si="58"/>
        <v>1</v>
      </c>
      <c r="CJ253" s="149">
        <f t="shared" si="58"/>
        <v>7246</v>
      </c>
      <c r="CK253" s="201">
        <f t="shared" si="58"/>
        <v>29</v>
      </c>
      <c r="CL253" s="151" t="str">
        <f t="shared" si="58"/>
        <v>0</v>
      </c>
      <c r="CM253" s="151" t="str">
        <f t="shared" si="58"/>
        <v>0</v>
      </c>
      <c r="CN253" s="28"/>
      <c r="CO253" s="151" t="str">
        <f t="shared" ref="CO253:CP253" si="59">CO9</f>
        <v>0</v>
      </c>
      <c r="CP253" s="151" t="str">
        <f t="shared" si="59"/>
        <v>0</v>
      </c>
      <c r="CQ253" s="28"/>
      <c r="CR253" s="149">
        <f t="shared" ref="CR253:DS253" si="60">CR9</f>
        <v>1</v>
      </c>
      <c r="CS253" s="149">
        <f t="shared" si="60"/>
        <v>0</v>
      </c>
      <c r="CT253" s="149">
        <f t="shared" si="60"/>
        <v>0</v>
      </c>
      <c r="CU253" s="149">
        <f t="shared" si="60"/>
        <v>0</v>
      </c>
      <c r="CV253" s="149">
        <f t="shared" si="60"/>
        <v>2</v>
      </c>
      <c r="CW253" s="149">
        <f t="shared" si="60"/>
        <v>0</v>
      </c>
      <c r="CX253" s="149">
        <f t="shared" si="60"/>
        <v>0</v>
      </c>
      <c r="CY253" s="149">
        <f t="shared" si="60"/>
        <v>0</v>
      </c>
      <c r="CZ253" s="149">
        <f t="shared" si="60"/>
        <v>0</v>
      </c>
      <c r="DA253" s="149">
        <f t="shared" si="60"/>
        <v>62</v>
      </c>
      <c r="DB253" s="149">
        <f t="shared" si="60"/>
        <v>60</v>
      </c>
      <c r="DC253" s="149">
        <f t="shared" si="60"/>
        <v>2</v>
      </c>
      <c r="DD253" s="149">
        <f t="shared" si="60"/>
        <v>57</v>
      </c>
      <c r="DE253" s="149">
        <f t="shared" si="60"/>
        <v>45</v>
      </c>
      <c r="DF253" s="149">
        <f t="shared" si="60"/>
        <v>93</v>
      </c>
      <c r="DG253" s="149">
        <f t="shared" si="60"/>
        <v>57</v>
      </c>
      <c r="DH253" s="149">
        <f t="shared" si="60"/>
        <v>45</v>
      </c>
      <c r="DI253" s="149">
        <f t="shared" si="60"/>
        <v>93</v>
      </c>
      <c r="DJ253" s="149">
        <f t="shared" si="60"/>
        <v>57</v>
      </c>
      <c r="DK253" s="149">
        <f t="shared" si="60"/>
        <v>2</v>
      </c>
      <c r="DL253" s="149">
        <f t="shared" si="60"/>
        <v>1</v>
      </c>
      <c r="DM253" s="149">
        <f t="shared" si="60"/>
        <v>4</v>
      </c>
      <c r="DN253" s="149">
        <f t="shared" si="60"/>
        <v>2</v>
      </c>
      <c r="DO253" s="149">
        <f t="shared" si="60"/>
        <v>1</v>
      </c>
      <c r="DP253" s="149">
        <f t="shared" si="60"/>
        <v>4</v>
      </c>
      <c r="DQ253" s="149">
        <f t="shared" si="60"/>
        <v>2</v>
      </c>
      <c r="DR253" s="149">
        <f t="shared" si="60"/>
        <v>62</v>
      </c>
      <c r="DS253" s="149">
        <f t="shared" si="60"/>
        <v>62</v>
      </c>
    </row>
    <row r="254" spans="1:123" s="36" customFormat="1">
      <c r="B254" s="145"/>
      <c r="C254" s="146" t="s">
        <v>13</v>
      </c>
      <c r="D254" s="147"/>
      <c r="E254" s="148"/>
      <c r="F254" s="148"/>
      <c r="G254" s="149">
        <f>G8+G10+G12+G13+G15+G17+G20+G21+G23+G26+G27+G28+G36+G39+G40</f>
        <v>15</v>
      </c>
      <c r="H254" s="1">
        <v>9</v>
      </c>
      <c r="I254" s="150"/>
      <c r="J254" s="149">
        <f t="shared" ref="J254:BW254" si="61">J8+J10+J12+J13+J15+J17+J20+J21+J23+J26+J27+J28+J36+J39+J40</f>
        <v>598841</v>
      </c>
      <c r="K254" s="149">
        <f t="shared" si="61"/>
        <v>23176</v>
      </c>
      <c r="L254" s="149">
        <f t="shared" si="61"/>
        <v>0</v>
      </c>
      <c r="M254" s="149">
        <f t="shared" si="61"/>
        <v>22166</v>
      </c>
      <c r="N254" s="149">
        <f t="shared" si="61"/>
        <v>2105</v>
      </c>
      <c r="O254" s="149">
        <f t="shared" si="61"/>
        <v>5539</v>
      </c>
      <c r="P254" s="149">
        <f t="shared" si="61"/>
        <v>2130</v>
      </c>
      <c r="Q254" s="135">
        <f t="shared" si="61"/>
        <v>5058</v>
      </c>
      <c r="R254" s="152">
        <f t="shared" si="61"/>
        <v>133435.16</v>
      </c>
      <c r="S254" s="149">
        <f t="shared" si="61"/>
        <v>82737.599999999991</v>
      </c>
      <c r="T254" s="149">
        <f t="shared" si="61"/>
        <v>1934</v>
      </c>
      <c r="U254" s="217">
        <f t="shared" si="47"/>
        <v>0.91608808353060767</v>
      </c>
      <c r="V254" s="149">
        <f t="shared" si="61"/>
        <v>122238.36</v>
      </c>
      <c r="W254" s="149">
        <f t="shared" si="61"/>
        <v>75738.3</v>
      </c>
      <c r="X254" s="149">
        <f t="shared" si="61"/>
        <v>171</v>
      </c>
      <c r="Y254" s="217">
        <f t="shared" si="53"/>
        <v>8.3911916469392306E-2</v>
      </c>
      <c r="Z254" s="149">
        <f t="shared" si="61"/>
        <v>11196.799999999997</v>
      </c>
      <c r="AA254" s="149">
        <f t="shared" si="61"/>
        <v>6999.3</v>
      </c>
      <c r="AB254" s="149">
        <f t="shared" si="61"/>
        <v>0</v>
      </c>
      <c r="AC254" s="149">
        <f t="shared" si="61"/>
        <v>0</v>
      </c>
      <c r="AD254" s="149">
        <f t="shared" si="61"/>
        <v>0</v>
      </c>
      <c r="AE254" s="152">
        <f t="shared" si="61"/>
        <v>586.90000000000009</v>
      </c>
      <c r="AF254" s="149">
        <f t="shared" si="61"/>
        <v>299.60000000000002</v>
      </c>
      <c r="AG254" s="149">
        <f t="shared" si="61"/>
        <v>0</v>
      </c>
      <c r="AH254" s="149">
        <f t="shared" si="61"/>
        <v>299.60000000000002</v>
      </c>
      <c r="AI254" s="149">
        <f t="shared" si="61"/>
        <v>287.29999999999995</v>
      </c>
      <c r="AJ254" s="149">
        <f t="shared" si="61"/>
        <v>0</v>
      </c>
      <c r="AK254" s="149">
        <f t="shared" si="61"/>
        <v>134022.06</v>
      </c>
      <c r="AL254" s="149">
        <f t="shared" si="61"/>
        <v>0</v>
      </c>
      <c r="AM254" s="149">
        <f t="shared" si="61"/>
        <v>59</v>
      </c>
      <c r="AN254" s="149">
        <f t="shared" si="61"/>
        <v>59</v>
      </c>
      <c r="AO254" s="149">
        <f t="shared" si="61"/>
        <v>58</v>
      </c>
      <c r="AP254" s="149">
        <f t="shared" si="61"/>
        <v>0</v>
      </c>
      <c r="AQ254" s="149">
        <f t="shared" si="61"/>
        <v>59</v>
      </c>
      <c r="AR254" s="149">
        <f t="shared" si="61"/>
        <v>107890</v>
      </c>
      <c r="AS254" s="149">
        <f t="shared" si="61"/>
        <v>2915</v>
      </c>
      <c r="AT254" s="149">
        <f t="shared" si="61"/>
        <v>8759</v>
      </c>
      <c r="AU254" s="149">
        <f t="shared" si="61"/>
        <v>6616</v>
      </c>
      <c r="AV254" s="149">
        <f t="shared" si="61"/>
        <v>8437</v>
      </c>
      <c r="AW254" s="149">
        <f t="shared" si="61"/>
        <v>216509</v>
      </c>
      <c r="AX254" s="149">
        <f t="shared" si="61"/>
        <v>105070</v>
      </c>
      <c r="AY254" s="149">
        <f t="shared" si="61"/>
        <v>111439</v>
      </c>
      <c r="AZ254" s="149">
        <f t="shared" si="61"/>
        <v>52630</v>
      </c>
      <c r="BA254" s="149">
        <f t="shared" si="61"/>
        <v>4557</v>
      </c>
      <c r="BB254" s="149">
        <f t="shared" si="61"/>
        <v>21674</v>
      </c>
      <c r="BC254" s="149">
        <f t="shared" si="61"/>
        <v>21674</v>
      </c>
      <c r="BD254" s="149">
        <f t="shared" si="61"/>
        <v>1003</v>
      </c>
      <c r="BE254" s="149">
        <f t="shared" si="61"/>
        <v>118</v>
      </c>
      <c r="BF254" s="149">
        <f t="shared" si="61"/>
        <v>7561</v>
      </c>
      <c r="BG254" s="149">
        <f t="shared" si="61"/>
        <v>19746</v>
      </c>
      <c r="BH254" s="149">
        <f t="shared" si="61"/>
        <v>2</v>
      </c>
      <c r="BI254" s="149">
        <f t="shared" si="61"/>
        <v>224200</v>
      </c>
      <c r="BJ254" s="149">
        <f t="shared" si="61"/>
        <v>96465</v>
      </c>
      <c r="BK254" s="149">
        <f t="shared" si="61"/>
        <v>4265</v>
      </c>
      <c r="BL254" s="149">
        <f t="shared" si="61"/>
        <v>0</v>
      </c>
      <c r="BM254" s="149">
        <f t="shared" si="61"/>
        <v>0</v>
      </c>
      <c r="BN254" s="149">
        <f t="shared" si="61"/>
        <v>0</v>
      </c>
      <c r="BO254" s="149">
        <f t="shared" si="61"/>
        <v>12</v>
      </c>
      <c r="BP254" s="149">
        <f t="shared" si="61"/>
        <v>85767.459999999992</v>
      </c>
      <c r="BQ254" s="149">
        <f t="shared" si="61"/>
        <v>53504.5</v>
      </c>
      <c r="BR254" s="149">
        <f t="shared" si="61"/>
        <v>3</v>
      </c>
      <c r="BS254" s="149">
        <f t="shared" si="61"/>
        <v>47667.700000000004</v>
      </c>
      <c r="BT254" s="149">
        <f t="shared" si="61"/>
        <v>29233.1</v>
      </c>
      <c r="BU254" s="149">
        <f t="shared" si="61"/>
        <v>0</v>
      </c>
      <c r="BV254" s="149">
        <f t="shared" si="61"/>
        <v>44</v>
      </c>
      <c r="BW254" s="149">
        <f t="shared" si="61"/>
        <v>0</v>
      </c>
      <c r="BX254" s="149">
        <f t="shared" ref="BX254:CM254" si="62">BX8+BX10+BX12+BX13+BX15+BX17+BX20+BX21+BX23+BX26+BX27+BX28+BX36+BX39+BX40</f>
        <v>0</v>
      </c>
      <c r="BY254" s="149">
        <f t="shared" si="62"/>
        <v>0</v>
      </c>
      <c r="BZ254" s="149">
        <f t="shared" si="62"/>
        <v>10830</v>
      </c>
      <c r="CA254" s="149">
        <f t="shared" si="62"/>
        <v>30505.129999999994</v>
      </c>
      <c r="CB254" s="149">
        <f t="shared" si="62"/>
        <v>23219.140000000003</v>
      </c>
      <c r="CC254" s="149">
        <f t="shared" si="62"/>
        <v>50900</v>
      </c>
      <c r="CD254" s="149">
        <f t="shared" si="62"/>
        <v>27724</v>
      </c>
      <c r="CE254" s="149">
        <f t="shared" si="62"/>
        <v>5</v>
      </c>
      <c r="CF254" s="149">
        <f t="shared" si="62"/>
        <v>105070</v>
      </c>
      <c r="CG254" s="149">
        <f t="shared" si="62"/>
        <v>10</v>
      </c>
      <c r="CH254" s="149">
        <f t="shared" si="62"/>
        <v>111439</v>
      </c>
      <c r="CI254" s="149">
        <f t="shared" si="62"/>
        <v>15</v>
      </c>
      <c r="CJ254" s="149">
        <f t="shared" si="62"/>
        <v>216509</v>
      </c>
      <c r="CK254" s="201">
        <f t="shared" si="62"/>
        <v>443</v>
      </c>
      <c r="CL254" s="151">
        <f t="shared" si="62"/>
        <v>0</v>
      </c>
      <c r="CM254" s="151">
        <f t="shared" si="62"/>
        <v>0</v>
      </c>
      <c r="CN254" s="28"/>
      <c r="CO254" s="151">
        <f t="shared" ref="CO254:CP254" si="63">CO8+CO10+CO12+CO13+CO15+CO17+CO20+CO21+CO23+CO26+CO27+CO28+CO36+CO39+CO40</f>
        <v>0</v>
      </c>
      <c r="CP254" s="151">
        <f t="shared" si="63"/>
        <v>0</v>
      </c>
      <c r="CQ254" s="28"/>
      <c r="CR254" s="149">
        <f t="shared" ref="CR254:DS254" si="64">CR8+CR10+CR12+CR13+CR15+CR17+CR20+CR21+CR23+CR26+CR27+CR28+CR36+CR39+CR40</f>
        <v>15</v>
      </c>
      <c r="CS254" s="149">
        <f t="shared" si="64"/>
        <v>2</v>
      </c>
      <c r="CT254" s="149">
        <f t="shared" si="64"/>
        <v>2</v>
      </c>
      <c r="CU254" s="149">
        <f t="shared" si="64"/>
        <v>2</v>
      </c>
      <c r="CV254" s="149">
        <f t="shared" si="64"/>
        <v>44</v>
      </c>
      <c r="CW254" s="149">
        <f t="shared" si="64"/>
        <v>0</v>
      </c>
      <c r="CX254" s="149">
        <f t="shared" si="64"/>
        <v>0</v>
      </c>
      <c r="CY254" s="149">
        <f t="shared" si="64"/>
        <v>0</v>
      </c>
      <c r="CZ254" s="149">
        <f t="shared" si="64"/>
        <v>5</v>
      </c>
      <c r="DA254" s="149">
        <f t="shared" si="64"/>
        <v>2105</v>
      </c>
      <c r="DB254" s="149">
        <f t="shared" si="64"/>
        <v>1971</v>
      </c>
      <c r="DC254" s="149">
        <f t="shared" si="64"/>
        <v>134</v>
      </c>
      <c r="DD254" s="149">
        <f t="shared" si="64"/>
        <v>1877</v>
      </c>
      <c r="DE254" s="149">
        <f t="shared" si="64"/>
        <v>1380</v>
      </c>
      <c r="DF254" s="149">
        <f t="shared" si="64"/>
        <v>3323</v>
      </c>
      <c r="DG254" s="149">
        <f t="shared" si="64"/>
        <v>1754</v>
      </c>
      <c r="DH254" s="149">
        <f t="shared" si="64"/>
        <v>1380</v>
      </c>
      <c r="DI254" s="149">
        <f t="shared" si="64"/>
        <v>3323</v>
      </c>
      <c r="DJ254" s="149">
        <f t="shared" si="64"/>
        <v>1750</v>
      </c>
      <c r="DK254" s="149">
        <f t="shared" si="64"/>
        <v>112</v>
      </c>
      <c r="DL254" s="149">
        <f t="shared" si="64"/>
        <v>46</v>
      </c>
      <c r="DM254" s="149">
        <f t="shared" si="64"/>
        <v>160</v>
      </c>
      <c r="DN254" s="149">
        <f t="shared" si="64"/>
        <v>56</v>
      </c>
      <c r="DO254" s="149">
        <f t="shared" si="64"/>
        <v>46</v>
      </c>
      <c r="DP254" s="149">
        <f t="shared" si="64"/>
        <v>160</v>
      </c>
      <c r="DQ254" s="149">
        <f t="shared" si="64"/>
        <v>56</v>
      </c>
      <c r="DR254" s="149">
        <f t="shared" si="64"/>
        <v>2105</v>
      </c>
      <c r="DS254" s="149">
        <f t="shared" si="64"/>
        <v>2105</v>
      </c>
    </row>
    <row r="255" spans="1:123" s="36" customFormat="1">
      <c r="B255" s="145"/>
      <c r="C255" s="146" t="s">
        <v>14</v>
      </c>
      <c r="D255" s="147"/>
      <c r="E255" s="148"/>
      <c r="F255" s="148"/>
      <c r="G255" s="149">
        <f>G41</f>
        <v>1</v>
      </c>
      <c r="H255" s="1">
        <v>12</v>
      </c>
      <c r="I255" s="150"/>
      <c r="J255" s="149">
        <f t="shared" ref="J255:BW255" si="65">J41</f>
        <v>53895</v>
      </c>
      <c r="K255" s="149">
        <f t="shared" si="65"/>
        <v>2835</v>
      </c>
      <c r="L255" s="149">
        <f t="shared" si="65"/>
        <v>0</v>
      </c>
      <c r="M255" s="149">
        <f t="shared" si="65"/>
        <v>2630</v>
      </c>
      <c r="N255" s="149">
        <f t="shared" si="65"/>
        <v>132</v>
      </c>
      <c r="O255" s="149">
        <f t="shared" si="65"/>
        <v>220</v>
      </c>
      <c r="P255" s="149">
        <f t="shared" si="65"/>
        <v>135</v>
      </c>
      <c r="Q255" s="135">
        <f t="shared" si="65"/>
        <v>209</v>
      </c>
      <c r="R255" s="152">
        <f t="shared" si="65"/>
        <v>6466.5</v>
      </c>
      <c r="S255" s="149">
        <f t="shared" si="65"/>
        <v>3480.2</v>
      </c>
      <c r="T255" s="149">
        <f t="shared" si="65"/>
        <v>119</v>
      </c>
      <c r="U255" s="217">
        <f t="shared" si="47"/>
        <v>0.90302327379571634</v>
      </c>
      <c r="V255" s="149">
        <f t="shared" si="65"/>
        <v>5839.4</v>
      </c>
      <c r="W255" s="149">
        <f t="shared" si="65"/>
        <v>3143.9</v>
      </c>
      <c r="X255" s="149">
        <f t="shared" si="65"/>
        <v>13</v>
      </c>
      <c r="Y255" s="217">
        <f t="shared" si="53"/>
        <v>9.6976726204283617E-2</v>
      </c>
      <c r="Z255" s="149">
        <f t="shared" si="65"/>
        <v>627.1</v>
      </c>
      <c r="AA255" s="149">
        <f t="shared" si="65"/>
        <v>336.29999999999973</v>
      </c>
      <c r="AB255" s="149">
        <f t="shared" si="65"/>
        <v>0</v>
      </c>
      <c r="AC255" s="149">
        <f t="shared" si="65"/>
        <v>0</v>
      </c>
      <c r="AD255" s="149">
        <f t="shared" si="65"/>
        <v>0</v>
      </c>
      <c r="AE255" s="152">
        <f t="shared" si="65"/>
        <v>1377.5</v>
      </c>
      <c r="AF255" s="149">
        <f t="shared" si="65"/>
        <v>1377.5</v>
      </c>
      <c r="AG255" s="149">
        <f t="shared" si="65"/>
        <v>0</v>
      </c>
      <c r="AH255" s="149">
        <f t="shared" si="65"/>
        <v>1377.5</v>
      </c>
      <c r="AI255" s="149">
        <f t="shared" si="65"/>
        <v>0</v>
      </c>
      <c r="AJ255" s="149">
        <f t="shared" si="65"/>
        <v>0</v>
      </c>
      <c r="AK255" s="149">
        <f t="shared" si="65"/>
        <v>7844</v>
      </c>
      <c r="AL255" s="149">
        <f t="shared" si="65"/>
        <v>0</v>
      </c>
      <c r="AM255" s="149">
        <f t="shared" si="65"/>
        <v>4</v>
      </c>
      <c r="AN255" s="149">
        <f t="shared" si="65"/>
        <v>2</v>
      </c>
      <c r="AO255" s="149">
        <f t="shared" si="65"/>
        <v>2</v>
      </c>
      <c r="AP255" s="149">
        <f t="shared" si="65"/>
        <v>0</v>
      </c>
      <c r="AQ255" s="149">
        <f t="shared" si="65"/>
        <v>2</v>
      </c>
      <c r="AR255" s="149">
        <f t="shared" si="65"/>
        <v>11200</v>
      </c>
      <c r="AS255" s="149">
        <f t="shared" si="65"/>
        <v>0</v>
      </c>
      <c r="AT255" s="149">
        <f t="shared" si="65"/>
        <v>1120</v>
      </c>
      <c r="AU255" s="149">
        <f t="shared" si="65"/>
        <v>512</v>
      </c>
      <c r="AV255" s="149">
        <f t="shared" si="65"/>
        <v>312</v>
      </c>
      <c r="AW255" s="149">
        <f t="shared" si="65"/>
        <v>17584</v>
      </c>
      <c r="AX255" s="149">
        <f t="shared" si="65"/>
        <v>0</v>
      </c>
      <c r="AY255" s="149">
        <f t="shared" si="65"/>
        <v>17584</v>
      </c>
      <c r="AZ255" s="149">
        <f t="shared" si="65"/>
        <v>0</v>
      </c>
      <c r="BA255" s="149">
        <f t="shared" si="65"/>
        <v>307</v>
      </c>
      <c r="BB255" s="149">
        <f t="shared" si="65"/>
        <v>2448</v>
      </c>
      <c r="BC255" s="149">
        <f t="shared" si="65"/>
        <v>2448</v>
      </c>
      <c r="BD255" s="149">
        <f t="shared" si="65"/>
        <v>0</v>
      </c>
      <c r="BE255" s="149">
        <f t="shared" si="65"/>
        <v>4</v>
      </c>
      <c r="BF255" s="149">
        <f t="shared" si="65"/>
        <v>352</v>
      </c>
      <c r="BG255" s="149">
        <f t="shared" si="65"/>
        <v>1146</v>
      </c>
      <c r="BH255" s="149">
        <f t="shared" si="65"/>
        <v>0</v>
      </c>
      <c r="BI255" s="149">
        <f t="shared" si="65"/>
        <v>15200</v>
      </c>
      <c r="BJ255" s="149">
        <f t="shared" si="65"/>
        <v>6540</v>
      </c>
      <c r="BK255" s="149">
        <f t="shared" si="65"/>
        <v>240</v>
      </c>
      <c r="BL255" s="149">
        <f t="shared" si="65"/>
        <v>1</v>
      </c>
      <c r="BM255" s="149">
        <f t="shared" si="65"/>
        <v>6466.5</v>
      </c>
      <c r="BN255" s="149">
        <f t="shared" si="65"/>
        <v>3480.2</v>
      </c>
      <c r="BO255" s="149">
        <f t="shared" si="65"/>
        <v>0</v>
      </c>
      <c r="BP255" s="149">
        <f t="shared" si="65"/>
        <v>0</v>
      </c>
      <c r="BQ255" s="149">
        <f t="shared" si="65"/>
        <v>0</v>
      </c>
      <c r="BR255" s="149">
        <f t="shared" si="65"/>
        <v>0</v>
      </c>
      <c r="BS255" s="149">
        <f t="shared" si="65"/>
        <v>0</v>
      </c>
      <c r="BT255" s="149">
        <f t="shared" si="65"/>
        <v>0</v>
      </c>
      <c r="BU255" s="149">
        <f t="shared" si="65"/>
        <v>0</v>
      </c>
      <c r="BV255" s="149">
        <f t="shared" si="65"/>
        <v>3</v>
      </c>
      <c r="BW255" s="149">
        <f t="shared" si="65"/>
        <v>2448</v>
      </c>
      <c r="BX255" s="149">
        <f t="shared" ref="BX255:CM255" si="66">BX41</f>
        <v>10480</v>
      </c>
      <c r="BY255" s="149">
        <f t="shared" si="66"/>
        <v>0</v>
      </c>
      <c r="BZ255" s="149">
        <f t="shared" si="66"/>
        <v>11200</v>
      </c>
      <c r="CA255" s="149">
        <f t="shared" si="66"/>
        <v>2589.7999999999997</v>
      </c>
      <c r="CB255" s="149">
        <f t="shared" si="66"/>
        <v>2084.4</v>
      </c>
      <c r="CC255" s="149">
        <f t="shared" si="66"/>
        <v>6817</v>
      </c>
      <c r="CD255" s="149">
        <f t="shared" si="66"/>
        <v>3982</v>
      </c>
      <c r="CE255" s="149" t="str">
        <f t="shared" si="66"/>
        <v>0</v>
      </c>
      <c r="CF255" s="149">
        <f t="shared" si="66"/>
        <v>0</v>
      </c>
      <c r="CG255" s="149">
        <f t="shared" si="66"/>
        <v>1</v>
      </c>
      <c r="CH255" s="149">
        <f t="shared" si="66"/>
        <v>17584</v>
      </c>
      <c r="CI255" s="149">
        <f t="shared" si="66"/>
        <v>1</v>
      </c>
      <c r="CJ255" s="149">
        <f t="shared" si="66"/>
        <v>17584</v>
      </c>
      <c r="CK255" s="201">
        <f t="shared" si="66"/>
        <v>31</v>
      </c>
      <c r="CL255" s="151" t="str">
        <f t="shared" si="66"/>
        <v>0</v>
      </c>
      <c r="CM255" s="151" t="str">
        <f t="shared" si="66"/>
        <v>0</v>
      </c>
      <c r="CN255" s="28"/>
      <c r="CO255" s="151" t="str">
        <f t="shared" ref="CO255:CP255" si="67">CO41</f>
        <v>0</v>
      </c>
      <c r="CP255" s="151" t="str">
        <f t="shared" si="67"/>
        <v>0</v>
      </c>
      <c r="CQ255" s="28"/>
      <c r="CR255" s="149">
        <f t="shared" ref="CR255:DS255" si="68">CR41</f>
        <v>1</v>
      </c>
      <c r="CS255" s="149">
        <f t="shared" si="68"/>
        <v>0</v>
      </c>
      <c r="CT255" s="149">
        <f t="shared" si="68"/>
        <v>0</v>
      </c>
      <c r="CU255" s="149">
        <f t="shared" si="68"/>
        <v>0</v>
      </c>
      <c r="CV255" s="149">
        <f t="shared" si="68"/>
        <v>4</v>
      </c>
      <c r="CW255" s="149">
        <f t="shared" si="68"/>
        <v>0</v>
      </c>
      <c r="CX255" s="149">
        <f t="shared" si="68"/>
        <v>0</v>
      </c>
      <c r="CY255" s="149">
        <f t="shared" si="68"/>
        <v>0</v>
      </c>
      <c r="CZ255" s="149">
        <f t="shared" si="68"/>
        <v>0</v>
      </c>
      <c r="DA255" s="149">
        <f t="shared" si="68"/>
        <v>132</v>
      </c>
      <c r="DB255" s="149">
        <f t="shared" si="68"/>
        <v>124</v>
      </c>
      <c r="DC255" s="149">
        <f t="shared" si="68"/>
        <v>8</v>
      </c>
      <c r="DD255" s="149">
        <f t="shared" si="68"/>
        <v>121</v>
      </c>
      <c r="DE255" s="149">
        <f t="shared" si="68"/>
        <v>64</v>
      </c>
      <c r="DF255" s="149">
        <f t="shared" si="68"/>
        <v>127</v>
      </c>
      <c r="DG255" s="149">
        <f t="shared" si="68"/>
        <v>66</v>
      </c>
      <c r="DH255" s="149">
        <f t="shared" si="68"/>
        <v>64</v>
      </c>
      <c r="DI255" s="149">
        <f t="shared" si="68"/>
        <v>127</v>
      </c>
      <c r="DJ255" s="149">
        <f t="shared" si="68"/>
        <v>66</v>
      </c>
      <c r="DK255" s="149">
        <f t="shared" si="68"/>
        <v>6</v>
      </c>
      <c r="DL255" s="149">
        <f t="shared" si="68"/>
        <v>2</v>
      </c>
      <c r="DM255" s="149">
        <f t="shared" si="68"/>
        <v>8</v>
      </c>
      <c r="DN255" s="149">
        <f t="shared" si="68"/>
        <v>2</v>
      </c>
      <c r="DO255" s="149">
        <f t="shared" si="68"/>
        <v>2</v>
      </c>
      <c r="DP255" s="149">
        <f t="shared" si="68"/>
        <v>8</v>
      </c>
      <c r="DQ255" s="149">
        <f t="shared" si="68"/>
        <v>2</v>
      </c>
      <c r="DR255" s="149">
        <f t="shared" si="68"/>
        <v>132</v>
      </c>
      <c r="DS255" s="149">
        <f t="shared" si="68"/>
        <v>132</v>
      </c>
    </row>
    <row r="256" spans="1:123" s="36" customFormat="1">
      <c r="B256" s="145"/>
      <c r="C256" s="146" t="s">
        <v>17</v>
      </c>
      <c r="E256" s="146"/>
      <c r="F256" s="146"/>
      <c r="G256" s="149">
        <f>G7+G11+G14+G16+G18+G19+G22+G24+G25+G29+G30+G31+G32+G33+G34+G35+G42+G43+G44</f>
        <v>19</v>
      </c>
      <c r="H256" s="2">
        <v>5</v>
      </c>
      <c r="I256" s="153"/>
      <c r="J256" s="149">
        <f t="shared" ref="J256:BW256" si="69">J7+J11+J14+J16+J18+J19+J22+J24+J25+J29+J30+J31+J32+J33+J34+J35+J42+J43+J44</f>
        <v>740190</v>
      </c>
      <c r="K256" s="149">
        <f t="shared" si="69"/>
        <v>44560</v>
      </c>
      <c r="L256" s="149">
        <f t="shared" si="69"/>
        <v>55135</v>
      </c>
      <c r="M256" s="149">
        <f t="shared" si="69"/>
        <v>0</v>
      </c>
      <c r="N256" s="149">
        <f t="shared" si="69"/>
        <v>1751</v>
      </c>
      <c r="O256" s="149">
        <f t="shared" si="69"/>
        <v>4456</v>
      </c>
      <c r="P256" s="149">
        <f t="shared" si="69"/>
        <v>1889</v>
      </c>
      <c r="Q256" s="135">
        <f t="shared" si="69"/>
        <v>3393</v>
      </c>
      <c r="R256" s="152">
        <f t="shared" si="69"/>
        <v>126168.15999999999</v>
      </c>
      <c r="S256" s="149">
        <f t="shared" si="69"/>
        <v>75933.420000000013</v>
      </c>
      <c r="T256" s="149">
        <f t="shared" si="69"/>
        <v>1553</v>
      </c>
      <c r="U256" s="217">
        <f t="shared" si="47"/>
        <v>0.88084497705284781</v>
      </c>
      <c r="V256" s="149">
        <f t="shared" si="69"/>
        <v>111134.59000000003</v>
      </c>
      <c r="W256" s="149">
        <f t="shared" si="69"/>
        <v>66714.64</v>
      </c>
      <c r="X256" s="149">
        <f t="shared" si="69"/>
        <v>198</v>
      </c>
      <c r="Y256" s="217">
        <f t="shared" si="53"/>
        <v>0.11915502294715244</v>
      </c>
      <c r="Z256" s="149">
        <f t="shared" si="69"/>
        <v>15033.57</v>
      </c>
      <c r="AA256" s="149">
        <f t="shared" si="69"/>
        <v>9218.7800000000025</v>
      </c>
      <c r="AB256" s="149">
        <f t="shared" si="69"/>
        <v>0</v>
      </c>
      <c r="AC256" s="149">
        <f t="shared" si="69"/>
        <v>0</v>
      </c>
      <c r="AD256" s="149">
        <f t="shared" si="69"/>
        <v>0</v>
      </c>
      <c r="AE256" s="152">
        <f t="shared" si="69"/>
        <v>33436.829999999994</v>
      </c>
      <c r="AF256" s="149">
        <f t="shared" si="69"/>
        <v>17559.91</v>
      </c>
      <c r="AG256" s="149">
        <f t="shared" si="69"/>
        <v>0</v>
      </c>
      <c r="AH256" s="149">
        <f t="shared" si="69"/>
        <v>17559.91</v>
      </c>
      <c r="AI256" s="149">
        <f t="shared" si="69"/>
        <v>15876.920000000004</v>
      </c>
      <c r="AJ256" s="149">
        <f t="shared" si="69"/>
        <v>0</v>
      </c>
      <c r="AK256" s="149">
        <f t="shared" si="69"/>
        <v>159604.99000000002</v>
      </c>
      <c r="AL256" s="149">
        <f t="shared" si="69"/>
        <v>0</v>
      </c>
      <c r="AM256" s="149">
        <f t="shared" si="69"/>
        <v>0</v>
      </c>
      <c r="AN256" s="149">
        <f t="shared" si="69"/>
        <v>104</v>
      </c>
      <c r="AO256" s="149">
        <f t="shared" si="69"/>
        <v>0</v>
      </c>
      <c r="AP256" s="149">
        <f t="shared" si="69"/>
        <v>0</v>
      </c>
      <c r="AQ256" s="149">
        <f t="shared" si="69"/>
        <v>30</v>
      </c>
      <c r="AR256" s="149">
        <f t="shared" si="69"/>
        <v>108627</v>
      </c>
      <c r="AS256" s="149">
        <f t="shared" si="69"/>
        <v>21684</v>
      </c>
      <c r="AT256" s="149">
        <f t="shared" si="69"/>
        <v>9575</v>
      </c>
      <c r="AU256" s="149">
        <f t="shared" si="69"/>
        <v>7959</v>
      </c>
      <c r="AV256" s="149">
        <f t="shared" si="69"/>
        <v>3180</v>
      </c>
      <c r="AW256" s="149">
        <f t="shared" si="69"/>
        <v>103130</v>
      </c>
      <c r="AX256" s="149">
        <f t="shared" si="69"/>
        <v>0</v>
      </c>
      <c r="AY256" s="149">
        <f t="shared" si="69"/>
        <v>103130</v>
      </c>
      <c r="AZ256" s="149">
        <f t="shared" si="69"/>
        <v>0</v>
      </c>
      <c r="BA256" s="149">
        <f t="shared" si="69"/>
        <v>3212</v>
      </c>
      <c r="BB256" s="149">
        <f t="shared" si="69"/>
        <v>43481</v>
      </c>
      <c r="BC256" s="149">
        <f t="shared" si="69"/>
        <v>43481</v>
      </c>
      <c r="BD256" s="149">
        <f t="shared" si="69"/>
        <v>516</v>
      </c>
      <c r="BE256" s="149">
        <f t="shared" si="69"/>
        <v>214</v>
      </c>
      <c r="BF256" s="149">
        <f t="shared" si="69"/>
        <v>6216</v>
      </c>
      <c r="BG256" s="149">
        <f t="shared" si="69"/>
        <v>17286</v>
      </c>
      <c r="BH256" s="149">
        <f t="shared" si="69"/>
        <v>0</v>
      </c>
      <c r="BI256" s="149">
        <f t="shared" si="69"/>
        <v>132643</v>
      </c>
      <c r="BJ256" s="149">
        <f t="shared" si="69"/>
        <v>3844</v>
      </c>
      <c r="BK256" s="149">
        <f t="shared" si="69"/>
        <v>0</v>
      </c>
      <c r="BL256" s="149">
        <f t="shared" si="69"/>
        <v>19</v>
      </c>
      <c r="BM256" s="149">
        <f t="shared" si="69"/>
        <v>126168.15999999999</v>
      </c>
      <c r="BN256" s="149">
        <f t="shared" si="69"/>
        <v>75933.420000000013</v>
      </c>
      <c r="BO256" s="149">
        <f t="shared" si="69"/>
        <v>0</v>
      </c>
      <c r="BP256" s="149">
        <f t="shared" si="69"/>
        <v>0</v>
      </c>
      <c r="BQ256" s="149">
        <f t="shared" si="69"/>
        <v>0</v>
      </c>
      <c r="BR256" s="149">
        <f t="shared" si="69"/>
        <v>0</v>
      </c>
      <c r="BS256" s="149">
        <f t="shared" si="69"/>
        <v>0</v>
      </c>
      <c r="BT256" s="149">
        <f t="shared" si="69"/>
        <v>0</v>
      </c>
      <c r="BU256" s="149">
        <f t="shared" si="69"/>
        <v>0</v>
      </c>
      <c r="BV256" s="149">
        <f t="shared" si="69"/>
        <v>78</v>
      </c>
      <c r="BW256" s="149">
        <f t="shared" si="69"/>
        <v>43481</v>
      </c>
      <c r="BX256" s="149">
        <f t="shared" ref="BX256:CM256" si="70">BX7+BX11+BX14+BX16+BX18+BX19+BX22+BX24+BX25+BX29+BX30+BX31+BX32+BX33+BX34+BX35+BX42+BX43+BX44</f>
        <v>118578</v>
      </c>
      <c r="BY256" s="149">
        <f t="shared" si="70"/>
        <v>0</v>
      </c>
      <c r="BZ256" s="149">
        <f t="shared" si="70"/>
        <v>108627</v>
      </c>
      <c r="CA256" s="149">
        <f t="shared" si="70"/>
        <v>14027.710000000003</v>
      </c>
      <c r="CB256" s="149">
        <f t="shared" si="70"/>
        <v>13524.490000000002</v>
      </c>
      <c r="CC256" s="149">
        <f t="shared" si="70"/>
        <v>106808</v>
      </c>
      <c r="CD256" s="149">
        <f t="shared" si="70"/>
        <v>62248</v>
      </c>
      <c r="CE256" s="149">
        <f t="shared" si="70"/>
        <v>0</v>
      </c>
      <c r="CF256" s="149">
        <f t="shared" si="70"/>
        <v>0</v>
      </c>
      <c r="CG256" s="149">
        <f t="shared" si="70"/>
        <v>19</v>
      </c>
      <c r="CH256" s="149">
        <f t="shared" si="70"/>
        <v>103130</v>
      </c>
      <c r="CI256" s="149">
        <f t="shared" si="70"/>
        <v>19</v>
      </c>
      <c r="CJ256" s="149">
        <f t="shared" si="70"/>
        <v>103130</v>
      </c>
      <c r="CK256" s="201">
        <f t="shared" si="70"/>
        <v>895</v>
      </c>
      <c r="CL256" s="151">
        <f t="shared" si="70"/>
        <v>1</v>
      </c>
      <c r="CM256" s="151">
        <f t="shared" si="70"/>
        <v>7919.92</v>
      </c>
      <c r="CN256" s="28"/>
      <c r="CO256" s="151">
        <f t="shared" ref="CO256:CP256" si="71">CO7+CO11+CO14+CO16+CO18+CO19+CO22+CO24+CO25+CO29+CO30+CO31+CO32+CO33+CO34+CO35+CO42+CO43+CO44</f>
        <v>0</v>
      </c>
      <c r="CP256" s="151">
        <f t="shared" si="71"/>
        <v>0</v>
      </c>
      <c r="CQ256" s="28"/>
      <c r="CR256" s="149">
        <f t="shared" ref="CR256:DS256" si="72">CR7+CR11+CR14+CR16+CR18+CR19+CR22+CR24+CR25+CR29+CR30+CR31+CR32+CR33+CR34+CR35+CR42+CR43+CR44</f>
        <v>19</v>
      </c>
      <c r="CS256" s="149">
        <f t="shared" si="72"/>
        <v>0</v>
      </c>
      <c r="CT256" s="149">
        <f t="shared" si="72"/>
        <v>0</v>
      </c>
      <c r="CU256" s="149">
        <f t="shared" si="72"/>
        <v>0</v>
      </c>
      <c r="CV256" s="149">
        <f t="shared" si="72"/>
        <v>45</v>
      </c>
      <c r="CW256" s="149">
        <f t="shared" si="72"/>
        <v>0</v>
      </c>
      <c r="CX256" s="149">
        <f t="shared" si="72"/>
        <v>0</v>
      </c>
      <c r="CY256" s="149">
        <f t="shared" si="72"/>
        <v>0</v>
      </c>
      <c r="CZ256" s="149">
        <f t="shared" si="72"/>
        <v>0</v>
      </c>
      <c r="DA256" s="149">
        <f t="shared" si="72"/>
        <v>1752</v>
      </c>
      <c r="DB256" s="149">
        <f t="shared" si="72"/>
        <v>1656</v>
      </c>
      <c r="DC256" s="149">
        <f t="shared" si="72"/>
        <v>96</v>
      </c>
      <c r="DD256" s="149">
        <f t="shared" si="72"/>
        <v>1479</v>
      </c>
      <c r="DE256" s="149">
        <f t="shared" si="72"/>
        <v>560</v>
      </c>
      <c r="DF256" s="149">
        <f t="shared" si="72"/>
        <v>2509</v>
      </c>
      <c r="DG256" s="149">
        <f t="shared" si="72"/>
        <v>649</v>
      </c>
      <c r="DH256" s="149">
        <f t="shared" si="72"/>
        <v>560</v>
      </c>
      <c r="DI256" s="149">
        <f t="shared" si="72"/>
        <v>2509</v>
      </c>
      <c r="DJ256" s="149">
        <f t="shared" si="72"/>
        <v>720</v>
      </c>
      <c r="DK256" s="149">
        <f t="shared" si="72"/>
        <v>75</v>
      </c>
      <c r="DL256" s="149">
        <f t="shared" si="72"/>
        <v>14</v>
      </c>
      <c r="DM256" s="149">
        <f t="shared" si="72"/>
        <v>123</v>
      </c>
      <c r="DN256" s="149">
        <f t="shared" si="72"/>
        <v>15</v>
      </c>
      <c r="DO256" s="149">
        <f t="shared" si="72"/>
        <v>14</v>
      </c>
      <c r="DP256" s="149">
        <f t="shared" si="72"/>
        <v>124</v>
      </c>
      <c r="DQ256" s="149">
        <f t="shared" si="72"/>
        <v>36</v>
      </c>
      <c r="DR256" s="149">
        <f t="shared" si="72"/>
        <v>1752</v>
      </c>
      <c r="DS256" s="149">
        <f t="shared" si="72"/>
        <v>531</v>
      </c>
    </row>
    <row r="257" spans="2:123" s="36" customFormat="1">
      <c r="B257" s="145"/>
      <c r="C257" s="36" t="s">
        <v>18</v>
      </c>
      <c r="G257" s="154">
        <f>G45+G46+G47+G49+G50+G51+G53</f>
        <v>7</v>
      </c>
      <c r="H257" s="3">
        <v>9</v>
      </c>
      <c r="I257" s="145"/>
      <c r="J257" s="154">
        <f t="shared" ref="J257:BW257" si="73">J45+J46+J47+J49+J50+J51+J53</f>
        <v>203832</v>
      </c>
      <c r="K257" s="154">
        <f t="shared" si="73"/>
        <v>8508</v>
      </c>
      <c r="L257" s="154">
        <f t="shared" si="73"/>
        <v>8441</v>
      </c>
      <c r="M257" s="154">
        <f t="shared" si="73"/>
        <v>1246</v>
      </c>
      <c r="N257" s="154">
        <f t="shared" si="73"/>
        <v>2419</v>
      </c>
      <c r="O257" s="154">
        <f t="shared" si="73"/>
        <v>2419</v>
      </c>
      <c r="P257" s="154">
        <f t="shared" si="73"/>
        <v>2414</v>
      </c>
      <c r="Q257" s="155">
        <f t="shared" si="73"/>
        <v>3075</v>
      </c>
      <c r="R257" s="156">
        <f t="shared" si="73"/>
        <v>46218.04</v>
      </c>
      <c r="S257" s="154">
        <f t="shared" si="73"/>
        <v>33707.31</v>
      </c>
      <c r="T257" s="154">
        <f t="shared" si="73"/>
        <v>1013</v>
      </c>
      <c r="U257" s="218">
        <f t="shared" si="47"/>
        <v>0.41979170903828894</v>
      </c>
      <c r="V257" s="154">
        <f t="shared" si="73"/>
        <v>19401.95</v>
      </c>
      <c r="W257" s="154">
        <f t="shared" si="73"/>
        <v>14198.560000000001</v>
      </c>
      <c r="X257" s="154">
        <f t="shared" si="73"/>
        <v>1406</v>
      </c>
      <c r="Y257" s="218">
        <f t="shared" si="53"/>
        <v>0.58020829096171112</v>
      </c>
      <c r="Z257" s="154">
        <f t="shared" si="73"/>
        <v>26816.090000000004</v>
      </c>
      <c r="AA257" s="154">
        <f t="shared" si="73"/>
        <v>19508.75</v>
      </c>
      <c r="AB257" s="154">
        <f t="shared" si="73"/>
        <v>0</v>
      </c>
      <c r="AC257" s="154">
        <f t="shared" si="73"/>
        <v>0</v>
      </c>
      <c r="AD257" s="154">
        <f t="shared" si="73"/>
        <v>0</v>
      </c>
      <c r="AE257" s="154">
        <f t="shared" si="73"/>
        <v>327.41999999999996</v>
      </c>
      <c r="AF257" s="154">
        <f t="shared" si="73"/>
        <v>327.41999999999996</v>
      </c>
      <c r="AG257" s="154">
        <f t="shared" si="73"/>
        <v>0</v>
      </c>
      <c r="AH257" s="154">
        <f t="shared" si="73"/>
        <v>327.41999999999996</v>
      </c>
      <c r="AI257" s="154">
        <f t="shared" si="73"/>
        <v>0</v>
      </c>
      <c r="AJ257" s="154">
        <f t="shared" si="73"/>
        <v>0</v>
      </c>
      <c r="AK257" s="154">
        <f t="shared" si="73"/>
        <v>46545.460000000006</v>
      </c>
      <c r="AL257" s="154">
        <f t="shared" si="73"/>
        <v>0</v>
      </c>
      <c r="AM257" s="154">
        <f t="shared" si="73"/>
        <v>14</v>
      </c>
      <c r="AN257" s="154">
        <f t="shared" si="73"/>
        <v>14</v>
      </c>
      <c r="AO257" s="154">
        <f t="shared" si="73"/>
        <v>7</v>
      </c>
      <c r="AP257" s="154">
        <f t="shared" si="73"/>
        <v>0</v>
      </c>
      <c r="AQ257" s="154">
        <f t="shared" si="73"/>
        <v>7</v>
      </c>
      <c r="AR257" s="154">
        <f t="shared" si="73"/>
        <v>29125</v>
      </c>
      <c r="AS257" s="154">
        <f t="shared" si="73"/>
        <v>0</v>
      </c>
      <c r="AT257" s="154">
        <f t="shared" si="73"/>
        <v>2268</v>
      </c>
      <c r="AU257" s="154">
        <f t="shared" si="73"/>
        <v>2098</v>
      </c>
      <c r="AV257" s="154">
        <f t="shared" si="73"/>
        <v>5448</v>
      </c>
      <c r="AW257" s="154">
        <f t="shared" si="73"/>
        <v>57940</v>
      </c>
      <c r="AX257" s="154">
        <f t="shared" si="73"/>
        <v>0</v>
      </c>
      <c r="AY257" s="154">
        <f t="shared" si="73"/>
        <v>57940</v>
      </c>
      <c r="AZ257" s="154">
        <f t="shared" si="73"/>
        <v>22925</v>
      </c>
      <c r="BA257" s="154">
        <f t="shared" si="73"/>
        <v>1663</v>
      </c>
      <c r="BB257" s="154">
        <f t="shared" si="73"/>
        <v>8230</v>
      </c>
      <c r="BC257" s="154">
        <f t="shared" si="73"/>
        <v>8230</v>
      </c>
      <c r="BD257" s="154">
        <f t="shared" si="73"/>
        <v>385</v>
      </c>
      <c r="BE257" s="154">
        <f t="shared" si="73"/>
        <v>444</v>
      </c>
      <c r="BF257" s="154">
        <f t="shared" si="73"/>
        <v>2695</v>
      </c>
      <c r="BG257" s="154">
        <f t="shared" si="73"/>
        <v>7715</v>
      </c>
      <c r="BH257" s="154">
        <f t="shared" si="73"/>
        <v>7</v>
      </c>
      <c r="BI257" s="154">
        <f t="shared" si="73"/>
        <v>86156</v>
      </c>
      <c r="BJ257" s="154">
        <f t="shared" si="73"/>
        <v>3030</v>
      </c>
      <c r="BK257" s="154">
        <f t="shared" si="73"/>
        <v>1400</v>
      </c>
      <c r="BL257" s="154">
        <f t="shared" si="73"/>
        <v>0</v>
      </c>
      <c r="BM257" s="154">
        <f t="shared" si="73"/>
        <v>0</v>
      </c>
      <c r="BN257" s="154">
        <f t="shared" si="73"/>
        <v>0</v>
      </c>
      <c r="BO257" s="154">
        <f t="shared" si="73"/>
        <v>7</v>
      </c>
      <c r="BP257" s="154">
        <f t="shared" si="73"/>
        <v>46218.04</v>
      </c>
      <c r="BQ257" s="154">
        <f t="shared" si="73"/>
        <v>33707.31</v>
      </c>
      <c r="BR257" s="154">
        <f t="shared" si="73"/>
        <v>0</v>
      </c>
      <c r="BS257" s="154">
        <f t="shared" si="73"/>
        <v>0</v>
      </c>
      <c r="BT257" s="154">
        <f t="shared" si="73"/>
        <v>0</v>
      </c>
      <c r="BU257" s="154">
        <f t="shared" si="73"/>
        <v>0</v>
      </c>
      <c r="BV257" s="154">
        <f t="shared" si="73"/>
        <v>1</v>
      </c>
      <c r="BW257" s="154">
        <f t="shared" si="73"/>
        <v>0</v>
      </c>
      <c r="BX257" s="154">
        <f t="shared" ref="BX257:CM257" si="74">BX45+BX46+BX47+BX49+BX50+BX51+BX53</f>
        <v>0</v>
      </c>
      <c r="BY257" s="154">
        <f t="shared" si="74"/>
        <v>40</v>
      </c>
      <c r="BZ257" s="154">
        <f t="shared" si="74"/>
        <v>0</v>
      </c>
      <c r="CA257" s="154">
        <f t="shared" si="74"/>
        <v>13163.050000000001</v>
      </c>
      <c r="CB257" s="154">
        <f t="shared" si="74"/>
        <v>13163.050000000001</v>
      </c>
      <c r="CC257" s="154">
        <f t="shared" si="74"/>
        <v>20899</v>
      </c>
      <c r="CD257" s="154">
        <f t="shared" si="74"/>
        <v>12391</v>
      </c>
      <c r="CE257" s="154">
        <f t="shared" si="74"/>
        <v>0</v>
      </c>
      <c r="CF257" s="154">
        <f t="shared" si="74"/>
        <v>0</v>
      </c>
      <c r="CG257" s="154">
        <f t="shared" si="74"/>
        <v>7</v>
      </c>
      <c r="CH257" s="154">
        <f t="shared" si="74"/>
        <v>57940</v>
      </c>
      <c r="CI257" s="154">
        <f t="shared" si="74"/>
        <v>7</v>
      </c>
      <c r="CJ257" s="154">
        <f t="shared" si="74"/>
        <v>57940</v>
      </c>
      <c r="CK257" s="202">
        <f t="shared" si="74"/>
        <v>506</v>
      </c>
      <c r="CL257" s="120">
        <f t="shared" si="74"/>
        <v>6</v>
      </c>
      <c r="CM257" s="120">
        <f t="shared" si="74"/>
        <v>40039.24</v>
      </c>
      <c r="CN257" s="28"/>
      <c r="CO257" s="120">
        <f t="shared" ref="CO257:CP257" si="75">CO45+CO46+CO47+CO49+CO50+CO51+CO53</f>
        <v>6</v>
      </c>
      <c r="CP257" s="120">
        <f t="shared" si="75"/>
        <v>40323.870000000003</v>
      </c>
      <c r="CQ257" s="28"/>
      <c r="CR257" s="154">
        <f t="shared" ref="CR257:DS257" si="76">CR45+CR46+CR47+CR49+CR50+CR51+CR53</f>
        <v>7</v>
      </c>
      <c r="CS257" s="154">
        <f t="shared" si="76"/>
        <v>0</v>
      </c>
      <c r="CT257" s="154">
        <f t="shared" si="76"/>
        <v>0</v>
      </c>
      <c r="CU257" s="154">
        <f t="shared" si="76"/>
        <v>3</v>
      </c>
      <c r="CV257" s="154">
        <f t="shared" si="76"/>
        <v>13</v>
      </c>
      <c r="CW257" s="154">
        <f t="shared" si="76"/>
        <v>0</v>
      </c>
      <c r="CX257" s="154">
        <f t="shared" si="76"/>
        <v>0</v>
      </c>
      <c r="CY257" s="154">
        <f t="shared" si="76"/>
        <v>6</v>
      </c>
      <c r="CZ257" s="154">
        <f t="shared" si="76"/>
        <v>0</v>
      </c>
      <c r="DA257" s="154">
        <f t="shared" si="76"/>
        <v>2404</v>
      </c>
      <c r="DB257" s="154">
        <f t="shared" si="76"/>
        <v>1306</v>
      </c>
      <c r="DC257" s="154">
        <f t="shared" si="76"/>
        <v>1098</v>
      </c>
      <c r="DD257" s="154">
        <f t="shared" si="76"/>
        <v>426</v>
      </c>
      <c r="DE257" s="154">
        <f t="shared" si="76"/>
        <v>259</v>
      </c>
      <c r="DF257" s="154">
        <f t="shared" si="76"/>
        <v>1306</v>
      </c>
      <c r="DG257" s="154">
        <f t="shared" si="76"/>
        <v>259</v>
      </c>
      <c r="DH257" s="154">
        <f t="shared" si="76"/>
        <v>259</v>
      </c>
      <c r="DI257" s="154">
        <f t="shared" si="76"/>
        <v>1306</v>
      </c>
      <c r="DJ257" s="154">
        <f t="shared" si="76"/>
        <v>259</v>
      </c>
      <c r="DK257" s="154">
        <f t="shared" si="76"/>
        <v>223</v>
      </c>
      <c r="DL257" s="154">
        <f t="shared" si="76"/>
        <v>182</v>
      </c>
      <c r="DM257" s="154">
        <f t="shared" si="76"/>
        <v>1098</v>
      </c>
      <c r="DN257" s="154">
        <f t="shared" si="76"/>
        <v>182</v>
      </c>
      <c r="DO257" s="154">
        <f t="shared" si="76"/>
        <v>182</v>
      </c>
      <c r="DP257" s="154">
        <f t="shared" si="76"/>
        <v>1098</v>
      </c>
      <c r="DQ257" s="154">
        <f t="shared" si="76"/>
        <v>182</v>
      </c>
      <c r="DR257" s="154">
        <f t="shared" si="76"/>
        <v>2404</v>
      </c>
      <c r="DS257" s="154">
        <f t="shared" si="76"/>
        <v>2404</v>
      </c>
    </row>
    <row r="258" spans="2:123">
      <c r="C258" s="36" t="s">
        <v>167</v>
      </c>
      <c r="E258" s="157"/>
      <c r="F258" s="157"/>
      <c r="G258" s="14">
        <f>G48+G52+G54</f>
        <v>3</v>
      </c>
      <c r="H258" s="1">
        <v>5</v>
      </c>
      <c r="I258" s="158"/>
      <c r="J258" s="14">
        <f t="shared" ref="J258:BW258" si="77">J48+J52+J54</f>
        <v>43976</v>
      </c>
      <c r="K258" s="14">
        <f t="shared" si="77"/>
        <v>2933</v>
      </c>
      <c r="L258" s="14">
        <f t="shared" si="77"/>
        <v>3746</v>
      </c>
      <c r="M258" s="14">
        <f t="shared" si="77"/>
        <v>0</v>
      </c>
      <c r="N258" s="14">
        <f t="shared" si="77"/>
        <v>380</v>
      </c>
      <c r="O258" s="14">
        <f t="shared" si="77"/>
        <v>425</v>
      </c>
      <c r="P258" s="14">
        <f t="shared" si="77"/>
        <v>287</v>
      </c>
      <c r="Q258" s="159">
        <f t="shared" si="77"/>
        <v>214</v>
      </c>
      <c r="R258" s="180">
        <f t="shared" si="77"/>
        <v>7660.52</v>
      </c>
      <c r="S258" s="14">
        <f t="shared" si="77"/>
        <v>5301.27</v>
      </c>
      <c r="T258" s="14">
        <f t="shared" si="77"/>
        <v>41</v>
      </c>
      <c r="U258" s="219">
        <f t="shared" si="47"/>
        <v>0.10631001550808562</v>
      </c>
      <c r="V258" s="14">
        <f t="shared" si="77"/>
        <v>814.3900000000001</v>
      </c>
      <c r="W258" s="14">
        <f t="shared" si="77"/>
        <v>577.92000000000019</v>
      </c>
      <c r="X258" s="14">
        <f t="shared" si="77"/>
        <v>338</v>
      </c>
      <c r="Y258" s="219">
        <f t="shared" si="53"/>
        <v>0.79333126210753313</v>
      </c>
      <c r="Z258" s="14">
        <f t="shared" si="77"/>
        <v>6077.33</v>
      </c>
      <c r="AA258" s="14">
        <f t="shared" si="77"/>
        <v>4142.67</v>
      </c>
      <c r="AB258" s="14">
        <f t="shared" si="77"/>
        <v>1</v>
      </c>
      <c r="AC258" s="14">
        <f t="shared" si="77"/>
        <v>768.8</v>
      </c>
      <c r="AD258" s="14">
        <f t="shared" si="77"/>
        <v>580.67999999999995</v>
      </c>
      <c r="AE258" s="14">
        <f t="shared" si="77"/>
        <v>570.43000000000006</v>
      </c>
      <c r="AF258" s="173">
        <f t="shared" si="77"/>
        <v>277.23</v>
      </c>
      <c r="AG258" s="14">
        <f t="shared" si="77"/>
        <v>0</v>
      </c>
      <c r="AH258" s="14">
        <f t="shared" si="77"/>
        <v>277.23</v>
      </c>
      <c r="AI258" s="14">
        <f t="shared" si="77"/>
        <v>293.2</v>
      </c>
      <c r="AJ258" s="14">
        <f t="shared" si="77"/>
        <v>0</v>
      </c>
      <c r="AK258" s="14">
        <f t="shared" si="77"/>
        <v>8230.9500000000007</v>
      </c>
      <c r="AL258" s="14">
        <f t="shared" si="77"/>
        <v>0</v>
      </c>
      <c r="AM258" s="14">
        <f t="shared" si="77"/>
        <v>0</v>
      </c>
      <c r="AN258" s="14">
        <f t="shared" si="77"/>
        <v>8</v>
      </c>
      <c r="AO258" s="14">
        <f t="shared" si="77"/>
        <v>3</v>
      </c>
      <c r="AP258" s="14">
        <f t="shared" si="77"/>
        <v>0</v>
      </c>
      <c r="AQ258" s="14">
        <f t="shared" si="77"/>
        <v>3</v>
      </c>
      <c r="AR258" s="14">
        <f t="shared" si="77"/>
        <v>7805</v>
      </c>
      <c r="AS258" s="14">
        <f t="shared" si="77"/>
        <v>0</v>
      </c>
      <c r="AT258" s="14">
        <f t="shared" si="77"/>
        <v>897</v>
      </c>
      <c r="AU258" s="14">
        <f t="shared" si="77"/>
        <v>911</v>
      </c>
      <c r="AV258" s="14">
        <f t="shared" si="77"/>
        <v>1512</v>
      </c>
      <c r="AW258" s="14">
        <f t="shared" si="77"/>
        <v>7669</v>
      </c>
      <c r="AX258" s="14">
        <f t="shared" si="77"/>
        <v>0</v>
      </c>
      <c r="AY258" s="14">
        <f t="shared" si="77"/>
        <v>7669</v>
      </c>
      <c r="AZ258" s="14">
        <f t="shared" si="77"/>
        <v>0</v>
      </c>
      <c r="BA258" s="14">
        <f t="shared" si="77"/>
        <v>493</v>
      </c>
      <c r="BB258" s="14">
        <f t="shared" si="77"/>
        <v>3495</v>
      </c>
      <c r="BC258" s="14">
        <f t="shared" si="77"/>
        <v>3495</v>
      </c>
      <c r="BD258" s="14">
        <f t="shared" si="77"/>
        <v>56</v>
      </c>
      <c r="BE258" s="14">
        <f t="shared" si="77"/>
        <v>82</v>
      </c>
      <c r="BF258" s="14">
        <f t="shared" si="77"/>
        <v>618</v>
      </c>
      <c r="BG258" s="14">
        <f t="shared" si="77"/>
        <v>1598</v>
      </c>
      <c r="BH258" s="14">
        <f t="shared" si="77"/>
        <v>3</v>
      </c>
      <c r="BI258" s="14">
        <f t="shared" si="77"/>
        <v>11151</v>
      </c>
      <c r="BJ258" s="14">
        <f t="shared" si="77"/>
        <v>470</v>
      </c>
      <c r="BK258" s="14">
        <f t="shared" si="77"/>
        <v>0</v>
      </c>
      <c r="BL258" s="14">
        <f t="shared" si="77"/>
        <v>3</v>
      </c>
      <c r="BM258" s="14">
        <f t="shared" si="77"/>
        <v>7660.52</v>
      </c>
      <c r="BN258" s="14">
        <f t="shared" si="77"/>
        <v>5301.27</v>
      </c>
      <c r="BO258" s="14">
        <f t="shared" si="77"/>
        <v>0</v>
      </c>
      <c r="BP258" s="14">
        <f t="shared" si="77"/>
        <v>0</v>
      </c>
      <c r="BQ258" s="14">
        <f t="shared" si="77"/>
        <v>0</v>
      </c>
      <c r="BR258" s="14">
        <f t="shared" si="77"/>
        <v>0</v>
      </c>
      <c r="BS258" s="14">
        <f t="shared" si="77"/>
        <v>0</v>
      </c>
      <c r="BT258" s="14">
        <f t="shared" si="77"/>
        <v>0</v>
      </c>
      <c r="BU258" s="14">
        <f t="shared" si="77"/>
        <v>0</v>
      </c>
      <c r="BV258" s="14">
        <f t="shared" si="77"/>
        <v>0</v>
      </c>
      <c r="BW258" s="14">
        <f t="shared" si="77"/>
        <v>0</v>
      </c>
      <c r="BX258" s="14">
        <f t="shared" ref="BX258:CM258" si="78">BX48+BX52+BX54</f>
        <v>0</v>
      </c>
      <c r="BY258" s="14">
        <f t="shared" si="78"/>
        <v>0</v>
      </c>
      <c r="BZ258" s="14">
        <f t="shared" si="78"/>
        <v>7805</v>
      </c>
      <c r="CA258" s="14">
        <f t="shared" si="78"/>
        <v>2227.7799999999997</v>
      </c>
      <c r="CB258" s="14">
        <f t="shared" si="78"/>
        <v>2227.7799999999997</v>
      </c>
      <c r="CC258" s="14">
        <f t="shared" si="78"/>
        <v>8590</v>
      </c>
      <c r="CD258" s="14">
        <f t="shared" si="78"/>
        <v>5657</v>
      </c>
      <c r="CE258" s="14">
        <f t="shared" si="78"/>
        <v>0</v>
      </c>
      <c r="CF258" s="14">
        <f t="shared" si="78"/>
        <v>0</v>
      </c>
      <c r="CG258" s="14">
        <f t="shared" si="78"/>
        <v>3</v>
      </c>
      <c r="CH258" s="14">
        <f t="shared" si="78"/>
        <v>7669</v>
      </c>
      <c r="CI258" s="14">
        <f t="shared" si="78"/>
        <v>3</v>
      </c>
      <c r="CJ258" s="14">
        <f t="shared" si="78"/>
        <v>7669</v>
      </c>
      <c r="CK258" s="203">
        <f t="shared" si="78"/>
        <v>163</v>
      </c>
      <c r="CL258" s="160">
        <f t="shared" si="78"/>
        <v>3</v>
      </c>
      <c r="CM258" s="160">
        <f t="shared" si="78"/>
        <v>7660.52</v>
      </c>
      <c r="CN258" s="29"/>
      <c r="CO258" s="160">
        <f t="shared" ref="CO258:CP258" si="79">CO48+CO52+CO54</f>
        <v>3</v>
      </c>
      <c r="CP258" s="160">
        <f t="shared" si="79"/>
        <v>8230.9500000000007</v>
      </c>
      <c r="CQ258" s="29"/>
      <c r="CR258" s="14">
        <f t="shared" ref="CR258:DS258" si="80">CR48+CR52+CR54</f>
        <v>3</v>
      </c>
      <c r="CS258" s="14">
        <f t="shared" si="80"/>
        <v>0</v>
      </c>
      <c r="CT258" s="14">
        <f t="shared" si="80"/>
        <v>0</v>
      </c>
      <c r="CU258" s="14">
        <f t="shared" si="80"/>
        <v>0</v>
      </c>
      <c r="CV258" s="14">
        <f t="shared" si="80"/>
        <v>4</v>
      </c>
      <c r="CW258" s="14">
        <f t="shared" si="80"/>
        <v>0</v>
      </c>
      <c r="CX258" s="14">
        <f t="shared" si="80"/>
        <v>0</v>
      </c>
      <c r="CY258" s="14">
        <f t="shared" si="80"/>
        <v>2</v>
      </c>
      <c r="CZ258" s="14">
        <f t="shared" si="80"/>
        <v>0</v>
      </c>
      <c r="DA258" s="14">
        <f t="shared" si="80"/>
        <v>379</v>
      </c>
      <c r="DB258" s="14">
        <f t="shared" si="80"/>
        <v>118</v>
      </c>
      <c r="DC258" s="14">
        <f t="shared" si="80"/>
        <v>226</v>
      </c>
      <c r="DD258" s="14">
        <f t="shared" si="80"/>
        <v>36</v>
      </c>
      <c r="DE258" s="14">
        <f t="shared" si="80"/>
        <v>6</v>
      </c>
      <c r="DF258" s="14">
        <f t="shared" si="80"/>
        <v>118</v>
      </c>
      <c r="DG258" s="14">
        <f t="shared" si="80"/>
        <v>6</v>
      </c>
      <c r="DH258" s="14">
        <f t="shared" si="80"/>
        <v>6</v>
      </c>
      <c r="DI258" s="14">
        <f t="shared" si="80"/>
        <v>118</v>
      </c>
      <c r="DJ258" s="14">
        <f t="shared" si="80"/>
        <v>6</v>
      </c>
      <c r="DK258" s="14">
        <f t="shared" si="80"/>
        <v>123</v>
      </c>
      <c r="DL258" s="14">
        <f t="shared" si="80"/>
        <v>3</v>
      </c>
      <c r="DM258" s="14">
        <f t="shared" si="80"/>
        <v>226</v>
      </c>
      <c r="DN258" s="14">
        <f t="shared" si="80"/>
        <v>3</v>
      </c>
      <c r="DO258" s="14">
        <f t="shared" si="80"/>
        <v>3</v>
      </c>
      <c r="DP258" s="14">
        <f t="shared" si="80"/>
        <v>226</v>
      </c>
      <c r="DQ258" s="14">
        <f t="shared" si="80"/>
        <v>3</v>
      </c>
      <c r="DR258" s="14">
        <f t="shared" si="80"/>
        <v>379</v>
      </c>
      <c r="DS258" s="14">
        <f t="shared" si="80"/>
        <v>344</v>
      </c>
    </row>
    <row r="259" spans="2:123">
      <c r="E259" s="157"/>
      <c r="F259" s="157"/>
      <c r="H259" s="158"/>
      <c r="I259" s="158"/>
      <c r="R259" s="161"/>
      <c r="S259" s="161"/>
      <c r="V259" s="162"/>
      <c r="W259" s="162"/>
      <c r="AF259" s="161"/>
    </row>
    <row r="260" spans="2:123">
      <c r="E260" s="157"/>
      <c r="F260" s="157"/>
      <c r="H260" s="158"/>
      <c r="I260" s="158"/>
      <c r="R260" s="161"/>
      <c r="S260" s="161"/>
      <c r="V260" s="162"/>
      <c r="W260" s="162"/>
      <c r="AE260" s="163"/>
      <c r="AF260" s="161"/>
    </row>
    <row r="261" spans="2:123">
      <c r="E261" s="157"/>
      <c r="F261" s="157"/>
      <c r="H261" s="158"/>
      <c r="I261" s="158"/>
      <c r="R261" s="161"/>
      <c r="S261" s="161"/>
      <c r="V261" s="162"/>
      <c r="W261" s="162"/>
      <c r="AF261" s="161"/>
    </row>
    <row r="262" spans="2:123">
      <c r="E262" s="157"/>
      <c r="F262" s="157"/>
      <c r="H262" s="158"/>
      <c r="I262" s="158"/>
      <c r="R262" s="161"/>
      <c r="S262" s="161"/>
      <c r="V262" s="162"/>
      <c r="W262" s="162"/>
      <c r="AF262" s="161"/>
    </row>
    <row r="263" spans="2:123">
      <c r="E263" s="157"/>
      <c r="F263" s="157"/>
      <c r="H263" s="158"/>
      <c r="I263" s="158"/>
      <c r="R263" s="161"/>
      <c r="S263" s="161"/>
      <c r="V263" s="162"/>
      <c r="W263" s="162"/>
      <c r="AF263" s="161"/>
      <c r="BM263" s="164"/>
    </row>
    <row r="264" spans="2:123">
      <c r="E264" s="157"/>
      <c r="F264" s="157"/>
      <c r="H264" s="158"/>
      <c r="I264" s="158"/>
      <c r="R264" s="31"/>
      <c r="S264" s="161"/>
      <c r="V264" s="162"/>
      <c r="W264" s="162"/>
      <c r="AF264" s="161"/>
    </row>
    <row r="265" spans="2:123">
      <c r="E265" s="157"/>
      <c r="F265" s="157"/>
      <c r="H265" s="158"/>
      <c r="I265" s="158"/>
      <c r="R265" s="161"/>
      <c r="S265" s="161"/>
      <c r="V265" s="162"/>
      <c r="W265" s="162"/>
      <c r="AF265" s="161"/>
    </row>
    <row r="266" spans="2:123">
      <c r="E266" s="157"/>
      <c r="F266" s="157"/>
      <c r="H266" s="158"/>
      <c r="I266" s="158"/>
      <c r="R266" s="161"/>
      <c r="S266" s="161"/>
      <c r="V266" s="162"/>
      <c r="W266" s="162"/>
      <c r="AF266" s="161"/>
    </row>
    <row r="267" spans="2:123">
      <c r="E267" s="157"/>
      <c r="F267" s="157"/>
      <c r="H267" s="158"/>
      <c r="I267" s="158"/>
      <c r="R267" s="161"/>
      <c r="S267" s="161"/>
      <c r="V267" s="162"/>
      <c r="W267" s="162"/>
      <c r="AF267" s="161"/>
    </row>
    <row r="268" spans="2:123">
      <c r="E268" s="157"/>
      <c r="F268" s="157"/>
      <c r="H268" s="158"/>
      <c r="I268" s="158"/>
      <c r="R268" s="161"/>
      <c r="S268" s="161"/>
      <c r="V268" s="162"/>
      <c r="W268" s="162"/>
      <c r="AF268" s="161"/>
    </row>
    <row r="269" spans="2:123">
      <c r="E269" s="157"/>
      <c r="F269" s="157"/>
      <c r="H269" s="158"/>
      <c r="I269" s="158"/>
      <c r="R269" s="161"/>
      <c r="S269" s="161"/>
      <c r="V269" s="162"/>
      <c r="W269" s="162"/>
      <c r="AF269" s="161"/>
    </row>
    <row r="270" spans="2:123">
      <c r="E270" s="157"/>
      <c r="F270" s="157"/>
      <c r="H270" s="158"/>
      <c r="I270" s="158"/>
      <c r="R270" s="161"/>
      <c r="S270" s="161"/>
      <c r="V270" s="162"/>
      <c r="W270" s="162"/>
      <c r="AF270" s="161"/>
    </row>
    <row r="271" spans="2:123">
      <c r="E271" s="157"/>
      <c r="F271" s="157"/>
      <c r="H271" s="158"/>
      <c r="I271" s="158"/>
      <c r="R271" s="161"/>
      <c r="S271" s="161"/>
      <c r="V271" s="162"/>
      <c r="W271" s="162"/>
      <c r="AF271" s="161"/>
    </row>
    <row r="272" spans="2:123">
      <c r="E272" s="157"/>
      <c r="F272" s="157"/>
      <c r="H272" s="158"/>
      <c r="I272" s="158"/>
      <c r="R272" s="161"/>
      <c r="S272" s="161"/>
      <c r="V272" s="162"/>
      <c r="W272" s="162"/>
      <c r="AF272" s="161"/>
    </row>
    <row r="273" spans="5:32">
      <c r="E273" s="157"/>
      <c r="F273" s="157"/>
      <c r="H273" s="158"/>
      <c r="I273" s="158"/>
      <c r="R273" s="161"/>
      <c r="S273" s="161"/>
      <c r="V273" s="162"/>
      <c r="W273" s="162"/>
      <c r="AF273" s="161"/>
    </row>
    <row r="274" spans="5:32">
      <c r="E274" s="157"/>
      <c r="F274" s="157"/>
      <c r="H274" s="158"/>
      <c r="I274" s="158"/>
      <c r="R274" s="161"/>
      <c r="S274" s="161"/>
      <c r="V274" s="162"/>
      <c r="W274" s="162"/>
      <c r="AF274" s="161"/>
    </row>
    <row r="275" spans="5:32">
      <c r="E275" s="157"/>
      <c r="F275" s="157"/>
      <c r="H275" s="158"/>
      <c r="I275" s="158"/>
      <c r="R275" s="161"/>
      <c r="S275" s="161"/>
      <c r="V275" s="162"/>
      <c r="W275" s="162"/>
      <c r="AF275" s="161"/>
    </row>
    <row r="276" spans="5:32">
      <c r="E276" s="157"/>
      <c r="F276" s="157"/>
      <c r="H276" s="158"/>
      <c r="I276" s="158"/>
      <c r="R276" s="161"/>
      <c r="S276" s="161"/>
      <c r="V276" s="162"/>
      <c r="W276" s="162"/>
      <c r="AF276" s="161"/>
    </row>
    <row r="277" spans="5:32">
      <c r="E277" s="157"/>
      <c r="F277" s="157"/>
      <c r="H277" s="158"/>
      <c r="I277" s="158"/>
      <c r="R277" s="161"/>
      <c r="S277" s="161"/>
      <c r="V277" s="162"/>
      <c r="W277" s="162"/>
      <c r="AF277" s="161"/>
    </row>
    <row r="278" spans="5:32">
      <c r="E278" s="157"/>
      <c r="F278" s="157"/>
      <c r="H278" s="158"/>
      <c r="I278" s="158"/>
      <c r="R278" s="161"/>
      <c r="S278" s="161"/>
      <c r="V278" s="162"/>
      <c r="W278" s="162"/>
      <c r="AF278" s="161"/>
    </row>
    <row r="279" spans="5:32">
      <c r="E279" s="157"/>
      <c r="F279" s="157"/>
      <c r="H279" s="158"/>
      <c r="I279" s="158"/>
      <c r="R279" s="161"/>
      <c r="S279" s="161"/>
      <c r="V279" s="162"/>
      <c r="W279" s="162"/>
      <c r="AF279" s="161"/>
    </row>
    <row r="280" spans="5:32">
      <c r="E280" s="157"/>
      <c r="F280" s="157"/>
      <c r="H280" s="158"/>
      <c r="I280" s="158"/>
      <c r="R280" s="161"/>
      <c r="S280" s="161"/>
      <c r="V280" s="162"/>
      <c r="W280" s="162"/>
      <c r="AF280" s="161"/>
    </row>
    <row r="281" spans="5:32">
      <c r="E281" s="157"/>
      <c r="F281" s="157"/>
      <c r="H281" s="158"/>
      <c r="I281" s="158"/>
      <c r="R281" s="161"/>
      <c r="S281" s="161"/>
      <c r="V281" s="162"/>
      <c r="W281" s="162"/>
      <c r="AF281" s="161"/>
    </row>
    <row r="282" spans="5:32">
      <c r="E282" s="157"/>
      <c r="F282" s="157"/>
      <c r="H282" s="158"/>
      <c r="I282" s="158"/>
      <c r="R282" s="161"/>
      <c r="S282" s="161"/>
      <c r="V282" s="162"/>
      <c r="W282" s="162"/>
      <c r="AF282" s="161"/>
    </row>
    <row r="283" spans="5:32">
      <c r="E283" s="157"/>
      <c r="F283" s="157"/>
      <c r="H283" s="158"/>
      <c r="I283" s="158"/>
      <c r="R283" s="161"/>
      <c r="S283" s="161"/>
      <c r="V283" s="162"/>
      <c r="W283" s="162"/>
      <c r="AF283" s="161"/>
    </row>
    <row r="284" spans="5:32">
      <c r="E284" s="157"/>
      <c r="F284" s="157"/>
      <c r="H284" s="158"/>
      <c r="I284" s="158"/>
      <c r="V284" s="162"/>
      <c r="W284" s="162"/>
    </row>
    <row r="285" spans="5:32">
      <c r="E285" s="157"/>
      <c r="F285" s="157"/>
      <c r="H285" s="158"/>
      <c r="I285" s="158"/>
      <c r="R285" s="161"/>
      <c r="S285" s="161"/>
      <c r="V285" s="162"/>
      <c r="W285" s="162"/>
      <c r="AF285" s="161"/>
    </row>
    <row r="286" spans="5:32">
      <c r="E286" s="157"/>
      <c r="F286" s="157"/>
      <c r="H286" s="158"/>
      <c r="I286" s="158"/>
      <c r="R286" s="161"/>
      <c r="S286" s="161"/>
      <c r="V286" s="162"/>
      <c r="W286" s="162"/>
      <c r="AF286" s="161"/>
    </row>
    <row r="287" spans="5:32">
      <c r="E287" s="157"/>
      <c r="F287" s="157"/>
      <c r="H287" s="158"/>
      <c r="I287" s="158"/>
      <c r="R287" s="161"/>
      <c r="S287" s="161"/>
      <c r="V287" s="162"/>
      <c r="W287" s="162"/>
      <c r="AF287" s="161"/>
    </row>
    <row r="288" spans="5:32">
      <c r="E288" s="157"/>
      <c r="F288" s="157"/>
      <c r="H288" s="158"/>
      <c r="I288" s="158"/>
      <c r="R288" s="161"/>
      <c r="S288" s="161"/>
      <c r="V288" s="162"/>
      <c r="W288" s="162"/>
      <c r="AF288" s="161"/>
    </row>
    <row r="289" spans="5:32">
      <c r="E289" s="157"/>
      <c r="F289" s="157"/>
      <c r="H289" s="158"/>
      <c r="I289" s="158"/>
      <c r="R289" s="161"/>
      <c r="S289" s="161"/>
      <c r="V289" s="162"/>
      <c r="W289" s="162"/>
      <c r="AF289" s="161"/>
    </row>
    <row r="290" spans="5:32">
      <c r="E290" s="157"/>
      <c r="F290" s="157"/>
      <c r="H290" s="158"/>
      <c r="I290" s="158"/>
      <c r="R290" s="161"/>
      <c r="S290" s="161"/>
      <c r="V290" s="162"/>
      <c r="W290" s="162"/>
      <c r="AF290" s="161"/>
    </row>
    <row r="291" spans="5:32">
      <c r="E291" s="157"/>
      <c r="F291" s="157"/>
      <c r="H291" s="158"/>
      <c r="I291" s="158"/>
      <c r="R291" s="161"/>
      <c r="S291" s="161"/>
      <c r="V291" s="162"/>
      <c r="W291" s="162"/>
      <c r="AF291" s="161"/>
    </row>
    <row r="292" spans="5:32">
      <c r="E292" s="157"/>
      <c r="F292" s="157"/>
      <c r="H292" s="158"/>
      <c r="I292" s="158"/>
      <c r="R292" s="161"/>
      <c r="S292" s="161"/>
      <c r="V292" s="162"/>
      <c r="W292" s="162"/>
      <c r="AF292" s="161"/>
    </row>
    <row r="293" spans="5:32">
      <c r="E293" s="157"/>
      <c r="F293" s="157"/>
      <c r="H293" s="158"/>
      <c r="I293" s="158"/>
      <c r="R293" s="161"/>
      <c r="S293" s="161"/>
      <c r="V293" s="162"/>
      <c r="W293" s="162"/>
      <c r="AF293" s="161"/>
    </row>
    <row r="294" spans="5:32">
      <c r="E294" s="157"/>
      <c r="F294" s="157"/>
      <c r="H294" s="158"/>
      <c r="I294" s="158"/>
      <c r="R294" s="161"/>
      <c r="S294" s="161"/>
      <c r="V294" s="162"/>
      <c r="W294" s="162"/>
      <c r="AF294" s="161"/>
    </row>
    <row r="295" spans="5:32">
      <c r="E295" s="157"/>
      <c r="F295" s="157"/>
      <c r="H295" s="158"/>
      <c r="I295" s="158"/>
      <c r="R295" s="161"/>
      <c r="S295" s="161"/>
      <c r="V295" s="162"/>
      <c r="W295" s="162"/>
      <c r="AF295" s="161"/>
    </row>
    <row r="296" spans="5:32">
      <c r="E296" s="157"/>
      <c r="F296" s="157"/>
      <c r="H296" s="158"/>
      <c r="I296" s="158"/>
      <c r="R296" s="161"/>
      <c r="S296" s="161"/>
      <c r="V296" s="162"/>
      <c r="W296" s="162"/>
      <c r="AF296" s="161"/>
    </row>
    <row r="297" spans="5:32">
      <c r="E297" s="157"/>
      <c r="F297" s="157"/>
      <c r="H297" s="158"/>
      <c r="I297" s="158"/>
      <c r="R297" s="161"/>
      <c r="S297" s="161"/>
      <c r="V297" s="162"/>
      <c r="W297" s="162"/>
      <c r="AF297" s="161"/>
    </row>
    <row r="298" spans="5:32">
      <c r="E298" s="157"/>
      <c r="F298" s="157"/>
      <c r="H298" s="158"/>
      <c r="I298" s="158"/>
      <c r="R298" s="161"/>
      <c r="S298" s="161"/>
      <c r="V298" s="162"/>
      <c r="W298" s="162"/>
      <c r="AF298" s="161"/>
    </row>
    <row r="299" spans="5:32">
      <c r="E299" s="157"/>
      <c r="F299" s="157"/>
      <c r="H299" s="158"/>
      <c r="I299" s="158"/>
      <c r="R299" s="161"/>
      <c r="S299" s="161"/>
      <c r="V299" s="162"/>
      <c r="W299" s="162"/>
      <c r="AF299" s="161"/>
    </row>
    <row r="300" spans="5:32">
      <c r="E300" s="157"/>
      <c r="F300" s="157"/>
      <c r="H300" s="158"/>
      <c r="I300" s="158"/>
      <c r="R300" s="161"/>
      <c r="S300" s="161"/>
      <c r="V300" s="162"/>
      <c r="W300" s="162"/>
      <c r="AF300" s="161"/>
    </row>
    <row r="301" spans="5:32">
      <c r="E301" s="157"/>
      <c r="F301" s="157"/>
      <c r="H301" s="158"/>
      <c r="I301" s="158"/>
      <c r="R301" s="161"/>
      <c r="S301" s="161"/>
      <c r="V301" s="162"/>
      <c r="W301" s="162"/>
      <c r="AF301" s="161"/>
    </row>
    <row r="302" spans="5:32">
      <c r="E302" s="157"/>
      <c r="F302" s="157"/>
      <c r="H302" s="158"/>
      <c r="I302" s="158"/>
      <c r="R302" s="161"/>
      <c r="S302" s="161"/>
      <c r="V302" s="162"/>
      <c r="W302" s="162"/>
      <c r="AF302" s="161"/>
    </row>
    <row r="303" spans="5:32">
      <c r="E303" s="157"/>
      <c r="F303" s="157"/>
      <c r="H303" s="158"/>
      <c r="I303" s="158"/>
      <c r="R303" s="161"/>
      <c r="S303" s="161"/>
      <c r="V303" s="162"/>
      <c r="W303" s="162"/>
      <c r="AF303" s="161"/>
    </row>
    <row r="304" spans="5:32">
      <c r="E304" s="157"/>
      <c r="F304" s="157"/>
      <c r="H304" s="158"/>
      <c r="I304" s="158"/>
      <c r="R304" s="161"/>
      <c r="S304" s="161"/>
      <c r="V304" s="162"/>
      <c r="W304" s="162"/>
      <c r="AF304" s="161"/>
    </row>
    <row r="305" spans="5:32">
      <c r="E305" s="157"/>
      <c r="F305" s="157"/>
      <c r="H305" s="158"/>
      <c r="I305" s="158"/>
      <c r="R305" s="161"/>
      <c r="S305" s="161"/>
      <c r="V305" s="162"/>
      <c r="W305" s="162"/>
      <c r="AF305" s="161"/>
    </row>
    <row r="306" spans="5:32">
      <c r="E306" s="157"/>
      <c r="F306" s="157"/>
      <c r="H306" s="158"/>
      <c r="I306" s="158"/>
      <c r="R306" s="161"/>
      <c r="S306" s="161"/>
      <c r="V306" s="162"/>
      <c r="W306" s="162"/>
      <c r="AF306" s="161"/>
    </row>
    <row r="307" spans="5:32">
      <c r="E307" s="157"/>
      <c r="F307" s="157"/>
      <c r="H307" s="158"/>
      <c r="I307" s="158"/>
      <c r="R307" s="161"/>
      <c r="S307" s="161"/>
      <c r="V307" s="162"/>
      <c r="W307" s="162"/>
      <c r="AF307" s="161"/>
    </row>
    <row r="308" spans="5:32">
      <c r="E308" s="157"/>
      <c r="F308" s="157"/>
      <c r="H308" s="158"/>
      <c r="I308" s="158"/>
      <c r="R308" s="161"/>
      <c r="S308" s="161"/>
      <c r="V308" s="162"/>
      <c r="W308" s="162"/>
      <c r="AF308" s="161"/>
    </row>
    <row r="309" spans="5:32">
      <c r="E309" s="157"/>
      <c r="F309" s="157"/>
      <c r="H309" s="158"/>
      <c r="I309" s="158"/>
      <c r="R309" s="161"/>
      <c r="S309" s="161"/>
      <c r="V309" s="162"/>
      <c r="W309" s="162"/>
      <c r="AF309" s="161"/>
    </row>
    <row r="310" spans="5:32">
      <c r="E310" s="157"/>
      <c r="F310" s="157"/>
      <c r="H310" s="158"/>
      <c r="I310" s="158"/>
      <c r="R310" s="161"/>
      <c r="S310" s="161"/>
      <c r="V310" s="162"/>
      <c r="W310" s="162"/>
      <c r="AF310" s="161"/>
    </row>
    <row r="311" spans="5:32">
      <c r="E311" s="157"/>
      <c r="F311" s="157"/>
      <c r="H311" s="158"/>
      <c r="I311" s="158"/>
      <c r="R311" s="161"/>
      <c r="S311" s="161"/>
      <c r="V311" s="162"/>
      <c r="W311" s="162"/>
      <c r="AF311" s="161"/>
    </row>
    <row r="312" spans="5:32">
      <c r="E312" s="157"/>
      <c r="F312" s="157"/>
      <c r="H312" s="158"/>
      <c r="I312" s="158"/>
      <c r="R312" s="161"/>
      <c r="S312" s="161"/>
      <c r="V312" s="162"/>
      <c r="W312" s="162"/>
      <c r="AF312" s="161"/>
    </row>
    <row r="313" spans="5:32">
      <c r="E313" s="157"/>
      <c r="F313" s="157"/>
      <c r="H313" s="158"/>
      <c r="I313" s="158"/>
      <c r="R313" s="161"/>
      <c r="S313" s="161"/>
      <c r="V313" s="162"/>
      <c r="W313" s="162"/>
      <c r="AF313" s="161"/>
    </row>
    <row r="314" spans="5:32">
      <c r="E314" s="157"/>
      <c r="F314" s="157"/>
      <c r="H314" s="158"/>
      <c r="I314" s="158"/>
      <c r="R314" s="161"/>
      <c r="S314" s="161"/>
      <c r="V314" s="162"/>
      <c r="W314" s="162"/>
      <c r="AF314" s="161"/>
    </row>
    <row r="315" spans="5:32">
      <c r="E315" s="157"/>
      <c r="F315" s="157"/>
      <c r="H315" s="158"/>
      <c r="I315" s="158"/>
      <c r="R315" s="161"/>
      <c r="S315" s="161"/>
      <c r="V315" s="162"/>
      <c r="W315" s="162"/>
      <c r="AF315" s="161"/>
    </row>
    <row r="316" spans="5:32">
      <c r="E316" s="157"/>
      <c r="F316" s="157"/>
      <c r="H316" s="158"/>
      <c r="I316" s="158"/>
      <c r="R316" s="161"/>
      <c r="S316" s="161"/>
      <c r="V316" s="162"/>
      <c r="W316" s="162"/>
      <c r="AF316" s="161"/>
    </row>
    <row r="317" spans="5:32">
      <c r="E317" s="157"/>
      <c r="F317" s="157"/>
      <c r="H317" s="158"/>
      <c r="I317" s="158"/>
      <c r="R317" s="161"/>
      <c r="S317" s="161"/>
      <c r="V317" s="162"/>
      <c r="W317" s="162"/>
      <c r="AF317" s="161"/>
    </row>
    <row r="318" spans="5:32">
      <c r="E318" s="157"/>
      <c r="F318" s="157"/>
      <c r="H318" s="158"/>
      <c r="I318" s="158"/>
      <c r="R318" s="161"/>
      <c r="S318" s="161"/>
      <c r="V318" s="162"/>
      <c r="W318" s="162"/>
      <c r="AF318" s="161"/>
    </row>
    <row r="319" spans="5:32">
      <c r="E319" s="157"/>
      <c r="F319" s="157"/>
      <c r="H319" s="158"/>
      <c r="I319" s="158"/>
      <c r="R319" s="161"/>
      <c r="S319" s="161"/>
      <c r="V319" s="162"/>
      <c r="W319" s="162"/>
      <c r="AF319" s="161"/>
    </row>
    <row r="320" spans="5:32">
      <c r="E320" s="157"/>
      <c r="F320" s="157"/>
      <c r="H320" s="158"/>
      <c r="I320" s="158"/>
      <c r="R320" s="161"/>
      <c r="S320" s="161"/>
      <c r="V320" s="162"/>
      <c r="W320" s="162"/>
      <c r="AF320" s="161"/>
    </row>
    <row r="321" spans="5:32">
      <c r="E321" s="157"/>
      <c r="F321" s="157"/>
      <c r="H321" s="158"/>
      <c r="I321" s="158"/>
      <c r="R321" s="161"/>
      <c r="S321" s="161"/>
      <c r="V321" s="162"/>
      <c r="W321" s="162"/>
      <c r="AF321" s="161"/>
    </row>
    <row r="322" spans="5:32">
      <c r="E322" s="157"/>
      <c r="F322" s="157"/>
      <c r="H322" s="158"/>
      <c r="I322" s="158"/>
      <c r="R322" s="161"/>
      <c r="S322" s="161"/>
      <c r="V322" s="162"/>
      <c r="W322" s="162"/>
      <c r="AF322" s="161"/>
    </row>
    <row r="323" spans="5:32">
      <c r="E323" s="157"/>
      <c r="F323" s="157"/>
      <c r="H323" s="158"/>
      <c r="I323" s="158"/>
      <c r="R323" s="161"/>
      <c r="S323" s="161"/>
      <c r="V323" s="162"/>
      <c r="W323" s="162"/>
      <c r="AF323" s="161"/>
    </row>
    <row r="324" spans="5:32">
      <c r="E324" s="157"/>
      <c r="F324" s="157"/>
      <c r="H324" s="158"/>
      <c r="I324" s="158"/>
      <c r="R324" s="161"/>
      <c r="S324" s="161"/>
      <c r="V324" s="162"/>
      <c r="W324" s="162"/>
      <c r="AF324" s="161"/>
    </row>
    <row r="325" spans="5:32">
      <c r="E325" s="157"/>
      <c r="F325" s="157"/>
      <c r="H325" s="158"/>
      <c r="I325" s="158"/>
      <c r="R325" s="161"/>
      <c r="S325" s="161"/>
      <c r="V325" s="162"/>
      <c r="W325" s="162"/>
      <c r="AF325" s="161"/>
    </row>
    <row r="326" spans="5:32">
      <c r="E326" s="157"/>
      <c r="F326" s="157"/>
      <c r="H326" s="158"/>
      <c r="I326" s="158"/>
      <c r="R326" s="161"/>
      <c r="S326" s="161"/>
      <c r="V326" s="162"/>
      <c r="W326" s="162"/>
      <c r="AF326" s="161"/>
    </row>
    <row r="327" spans="5:32">
      <c r="E327" s="157"/>
      <c r="F327" s="157"/>
      <c r="H327" s="158"/>
      <c r="I327" s="158"/>
      <c r="R327" s="161"/>
      <c r="S327" s="161"/>
      <c r="V327" s="162"/>
      <c r="W327" s="162"/>
      <c r="AF327" s="161"/>
    </row>
    <row r="328" spans="5:32">
      <c r="E328" s="157"/>
      <c r="F328" s="157"/>
      <c r="H328" s="158"/>
      <c r="I328" s="158"/>
      <c r="R328" s="161"/>
      <c r="S328" s="161"/>
      <c r="V328" s="162"/>
      <c r="W328" s="162"/>
      <c r="AF328" s="161"/>
    </row>
    <row r="329" spans="5:32">
      <c r="E329" s="157"/>
      <c r="F329" s="157"/>
      <c r="H329" s="158"/>
      <c r="I329" s="158"/>
      <c r="R329" s="161"/>
      <c r="S329" s="161"/>
      <c r="V329" s="162"/>
      <c r="W329" s="162"/>
      <c r="AF329" s="161"/>
    </row>
    <row r="330" spans="5:32">
      <c r="E330" s="157"/>
      <c r="F330" s="157"/>
      <c r="H330" s="158"/>
      <c r="I330" s="158"/>
      <c r="R330" s="161"/>
      <c r="S330" s="161"/>
      <c r="V330" s="162"/>
      <c r="W330" s="162"/>
      <c r="AF330" s="161"/>
    </row>
    <row r="331" spans="5:32">
      <c r="E331" s="157"/>
      <c r="F331" s="157"/>
      <c r="H331" s="158"/>
      <c r="I331" s="158"/>
      <c r="R331" s="161"/>
      <c r="S331" s="161"/>
      <c r="V331" s="162"/>
      <c r="W331" s="162"/>
      <c r="AF331" s="161"/>
    </row>
    <row r="332" spans="5:32">
      <c r="E332" s="157"/>
      <c r="F332" s="157"/>
      <c r="H332" s="158"/>
      <c r="I332" s="158"/>
      <c r="R332" s="161"/>
      <c r="S332" s="161"/>
      <c r="V332" s="162"/>
      <c r="W332" s="162"/>
      <c r="AF332" s="161"/>
    </row>
    <row r="333" spans="5:32">
      <c r="E333" s="157"/>
      <c r="F333" s="157"/>
      <c r="H333" s="158"/>
      <c r="I333" s="158"/>
      <c r="R333" s="161"/>
      <c r="S333" s="161"/>
      <c r="V333" s="162"/>
      <c r="W333" s="162"/>
      <c r="AF333" s="161"/>
    </row>
    <row r="334" spans="5:32">
      <c r="E334" s="157"/>
      <c r="F334" s="157"/>
      <c r="H334" s="158"/>
      <c r="I334" s="158"/>
      <c r="R334" s="161"/>
      <c r="S334" s="161"/>
      <c r="V334" s="162"/>
      <c r="W334" s="162"/>
      <c r="AF334" s="161"/>
    </row>
    <row r="335" spans="5:32">
      <c r="E335" s="157"/>
      <c r="F335" s="157"/>
      <c r="H335" s="158"/>
      <c r="I335" s="158"/>
      <c r="R335" s="161"/>
      <c r="S335" s="161"/>
      <c r="V335" s="162"/>
      <c r="W335" s="162"/>
      <c r="AF335" s="161"/>
    </row>
    <row r="336" spans="5:32">
      <c r="E336" s="157"/>
      <c r="F336" s="157"/>
      <c r="H336" s="158"/>
      <c r="I336" s="158"/>
      <c r="R336" s="161"/>
      <c r="S336" s="161"/>
      <c r="V336" s="162"/>
      <c r="W336" s="162"/>
      <c r="AF336" s="161"/>
    </row>
    <row r="337" spans="5:42">
      <c r="E337" s="157"/>
      <c r="F337" s="157"/>
      <c r="H337" s="158"/>
      <c r="I337" s="158"/>
      <c r="R337" s="161"/>
      <c r="S337" s="161"/>
      <c r="V337" s="162"/>
      <c r="W337" s="162"/>
      <c r="AF337" s="161"/>
    </row>
    <row r="338" spans="5:42">
      <c r="E338" s="157"/>
      <c r="F338" s="157"/>
      <c r="G338" s="161"/>
      <c r="H338" s="158"/>
      <c r="I338" s="158"/>
      <c r="J338" s="161"/>
      <c r="K338" s="161"/>
      <c r="N338" s="161"/>
      <c r="O338" s="161"/>
      <c r="P338" s="161"/>
      <c r="Q338" s="165"/>
      <c r="R338" s="161"/>
      <c r="S338" s="161"/>
      <c r="T338" s="161"/>
      <c r="U338" s="161"/>
      <c r="V338" s="161"/>
      <c r="W338" s="161"/>
      <c r="AF338" s="161"/>
      <c r="AG338" s="161"/>
      <c r="AH338" s="161"/>
      <c r="AI338" s="161"/>
      <c r="AJ338" s="161"/>
      <c r="AL338" s="161"/>
      <c r="AM338" s="161"/>
      <c r="AN338" s="161"/>
      <c r="AO338" s="161"/>
      <c r="AP338" s="161"/>
    </row>
    <row r="339" spans="5:42">
      <c r="E339" s="157"/>
      <c r="F339" s="157"/>
      <c r="H339" s="158"/>
      <c r="I339" s="158"/>
      <c r="R339" s="161"/>
      <c r="S339" s="161"/>
      <c r="V339" s="162"/>
      <c r="W339" s="162"/>
      <c r="AF339" s="161"/>
    </row>
    <row r="340" spans="5:42">
      <c r="E340" s="157"/>
      <c r="F340" s="157"/>
      <c r="H340" s="158"/>
      <c r="I340" s="158"/>
      <c r="R340" s="161"/>
      <c r="S340" s="161"/>
      <c r="V340" s="162"/>
      <c r="W340" s="162"/>
      <c r="AF340" s="161"/>
    </row>
    <row r="341" spans="5:42">
      <c r="E341" s="157"/>
      <c r="F341" s="157"/>
      <c r="H341" s="158"/>
      <c r="I341" s="158"/>
      <c r="R341" s="161"/>
      <c r="S341" s="161"/>
      <c r="V341" s="162"/>
      <c r="W341" s="162"/>
      <c r="AF341" s="161"/>
    </row>
    <row r="342" spans="5:42">
      <c r="E342" s="157"/>
      <c r="F342" s="157"/>
      <c r="H342" s="158"/>
      <c r="I342" s="158"/>
      <c r="R342" s="161"/>
      <c r="S342" s="161"/>
      <c r="V342" s="162"/>
      <c r="W342" s="162"/>
      <c r="AF342" s="161"/>
    </row>
    <row r="343" spans="5:42">
      <c r="E343" s="157"/>
      <c r="F343" s="157"/>
      <c r="H343" s="158"/>
      <c r="I343" s="158"/>
      <c r="R343" s="161"/>
      <c r="S343" s="161"/>
      <c r="V343" s="162"/>
      <c r="W343" s="162"/>
      <c r="AF343" s="161"/>
    </row>
    <row r="344" spans="5:42">
      <c r="E344" s="157"/>
      <c r="F344" s="157"/>
      <c r="H344" s="158"/>
      <c r="I344" s="158"/>
      <c r="R344" s="161"/>
      <c r="S344" s="161"/>
      <c r="V344" s="162"/>
      <c r="W344" s="162"/>
      <c r="AF344" s="161"/>
    </row>
    <row r="345" spans="5:42">
      <c r="E345" s="157"/>
      <c r="F345" s="157"/>
      <c r="H345" s="158"/>
      <c r="I345" s="158"/>
      <c r="R345" s="161"/>
      <c r="S345" s="161"/>
      <c r="V345" s="162"/>
      <c r="W345" s="162"/>
      <c r="AF345" s="161"/>
    </row>
    <row r="346" spans="5:42">
      <c r="E346" s="157"/>
      <c r="F346" s="157"/>
      <c r="H346" s="158"/>
      <c r="I346" s="158"/>
      <c r="R346" s="161"/>
      <c r="S346" s="161"/>
      <c r="V346" s="162"/>
      <c r="W346" s="162"/>
      <c r="AF346" s="161"/>
    </row>
    <row r="347" spans="5:42">
      <c r="E347" s="157"/>
      <c r="F347" s="157"/>
      <c r="H347" s="158"/>
      <c r="I347" s="158"/>
      <c r="R347" s="161"/>
      <c r="S347" s="161"/>
      <c r="V347" s="162"/>
      <c r="W347" s="162"/>
      <c r="AF347" s="161"/>
    </row>
    <row r="348" spans="5:42">
      <c r="E348" s="157"/>
      <c r="F348" s="157"/>
      <c r="H348" s="158"/>
      <c r="I348" s="158"/>
      <c r="R348" s="161"/>
      <c r="S348" s="161"/>
      <c r="V348" s="162"/>
      <c r="W348" s="162"/>
      <c r="AF348" s="161"/>
    </row>
    <row r="349" spans="5:42">
      <c r="E349" s="157"/>
      <c r="F349" s="157"/>
      <c r="H349" s="158"/>
      <c r="I349" s="158"/>
      <c r="R349" s="161"/>
      <c r="S349" s="161"/>
      <c r="V349" s="162"/>
      <c r="W349" s="162"/>
      <c r="AF349" s="161"/>
    </row>
    <row r="350" spans="5:42">
      <c r="E350" s="157"/>
      <c r="F350" s="157"/>
      <c r="H350" s="158"/>
      <c r="I350" s="158"/>
      <c r="R350" s="161"/>
      <c r="S350" s="161"/>
      <c r="V350" s="162"/>
      <c r="W350" s="162"/>
      <c r="AF350" s="161"/>
    </row>
    <row r="351" spans="5:42">
      <c r="E351" s="157"/>
      <c r="F351" s="157"/>
      <c r="H351" s="158"/>
      <c r="I351" s="158"/>
      <c r="R351" s="161"/>
      <c r="S351" s="161"/>
      <c r="V351" s="162"/>
      <c r="W351" s="162"/>
      <c r="AF351" s="161"/>
    </row>
    <row r="352" spans="5:42">
      <c r="E352" s="157"/>
      <c r="F352" s="157"/>
      <c r="H352" s="158"/>
      <c r="I352" s="158"/>
      <c r="R352" s="161"/>
      <c r="S352" s="161"/>
      <c r="V352" s="162"/>
      <c r="W352" s="162"/>
      <c r="AF352" s="161"/>
    </row>
    <row r="353" spans="5:32">
      <c r="E353" s="157"/>
      <c r="F353" s="157"/>
      <c r="H353" s="158"/>
      <c r="I353" s="158"/>
      <c r="R353" s="161"/>
      <c r="S353" s="161"/>
      <c r="V353" s="162"/>
      <c r="W353" s="162"/>
      <c r="AF353" s="161"/>
    </row>
    <row r="354" spans="5:32">
      <c r="E354" s="157"/>
      <c r="F354" s="157"/>
      <c r="H354" s="158"/>
      <c r="I354" s="158"/>
      <c r="R354" s="161"/>
      <c r="S354" s="161"/>
      <c r="V354" s="162"/>
      <c r="W354" s="162"/>
      <c r="AF354" s="161"/>
    </row>
    <row r="355" spans="5:32">
      <c r="E355" s="157"/>
      <c r="F355" s="157"/>
      <c r="H355" s="158"/>
      <c r="I355" s="158"/>
      <c r="R355" s="161"/>
      <c r="S355" s="161"/>
      <c r="V355" s="162"/>
      <c r="W355" s="162"/>
      <c r="AF355" s="161"/>
    </row>
    <row r="356" spans="5:32">
      <c r="E356" s="157"/>
      <c r="F356" s="157"/>
      <c r="H356" s="158"/>
      <c r="I356" s="158"/>
      <c r="R356" s="161"/>
      <c r="S356" s="161"/>
      <c r="V356" s="162"/>
      <c r="W356" s="162"/>
      <c r="AF356" s="161"/>
    </row>
    <row r="357" spans="5:32">
      <c r="E357" s="157"/>
      <c r="F357" s="157"/>
      <c r="H357" s="158"/>
      <c r="I357" s="158"/>
      <c r="R357" s="161"/>
      <c r="S357" s="161"/>
      <c r="V357" s="162"/>
      <c r="W357" s="162"/>
      <c r="AF357" s="161"/>
    </row>
    <row r="358" spans="5:32">
      <c r="E358" s="157"/>
      <c r="F358" s="157"/>
      <c r="H358" s="158"/>
      <c r="I358" s="158"/>
      <c r="R358" s="161"/>
      <c r="S358" s="161"/>
      <c r="V358" s="162"/>
      <c r="W358" s="162"/>
      <c r="AF358" s="161"/>
    </row>
    <row r="359" spans="5:32">
      <c r="E359" s="157"/>
      <c r="F359" s="157"/>
      <c r="H359" s="158"/>
      <c r="I359" s="158"/>
      <c r="R359" s="161"/>
      <c r="S359" s="161"/>
      <c r="V359" s="162"/>
      <c r="W359" s="162"/>
      <c r="AF359" s="161"/>
    </row>
    <row r="360" spans="5:32">
      <c r="E360" s="157"/>
      <c r="F360" s="157"/>
      <c r="H360" s="158"/>
      <c r="I360" s="158"/>
      <c r="R360" s="161"/>
      <c r="S360" s="161"/>
      <c r="V360" s="162"/>
      <c r="W360" s="162"/>
      <c r="AF360" s="161"/>
    </row>
    <row r="361" spans="5:32">
      <c r="E361" s="157"/>
      <c r="F361" s="157"/>
      <c r="H361" s="158"/>
      <c r="I361" s="158"/>
      <c r="R361" s="161"/>
      <c r="S361" s="161"/>
      <c r="V361" s="162"/>
      <c r="W361" s="162"/>
      <c r="AF361" s="161"/>
    </row>
    <row r="362" spans="5:32">
      <c r="E362" s="157"/>
      <c r="F362" s="157"/>
      <c r="H362" s="158"/>
      <c r="I362" s="158"/>
      <c r="R362" s="161"/>
      <c r="S362" s="161"/>
      <c r="V362" s="162"/>
      <c r="W362" s="162"/>
      <c r="AF362" s="161"/>
    </row>
    <row r="363" spans="5:32">
      <c r="E363" s="157"/>
      <c r="F363" s="157"/>
      <c r="H363" s="158"/>
      <c r="I363" s="158"/>
      <c r="R363" s="161"/>
      <c r="S363" s="161"/>
      <c r="V363" s="162"/>
      <c r="W363" s="162"/>
      <c r="AF363" s="161"/>
    </row>
    <row r="364" spans="5:32">
      <c r="E364" s="157"/>
      <c r="F364" s="157"/>
      <c r="H364" s="158"/>
      <c r="I364" s="158"/>
      <c r="R364" s="161"/>
      <c r="S364" s="161"/>
      <c r="V364" s="162"/>
      <c r="W364" s="162"/>
      <c r="AF364" s="161"/>
    </row>
    <row r="365" spans="5:32">
      <c r="E365" s="157"/>
      <c r="F365" s="157"/>
      <c r="H365" s="158"/>
      <c r="I365" s="158"/>
      <c r="R365" s="161"/>
      <c r="S365" s="161"/>
      <c r="V365" s="162"/>
      <c r="W365" s="162"/>
      <c r="AF365" s="161"/>
    </row>
    <row r="366" spans="5:32">
      <c r="E366" s="157"/>
      <c r="F366" s="157"/>
      <c r="H366" s="158"/>
      <c r="I366" s="158"/>
      <c r="R366" s="161"/>
      <c r="S366" s="161"/>
      <c r="V366" s="162"/>
      <c r="W366" s="162"/>
      <c r="AF366" s="161"/>
    </row>
    <row r="367" spans="5:32">
      <c r="E367" s="157"/>
      <c r="F367" s="157"/>
      <c r="H367" s="158"/>
      <c r="I367" s="158"/>
      <c r="R367" s="161"/>
      <c r="S367" s="161"/>
      <c r="V367" s="162"/>
      <c r="W367" s="162"/>
      <c r="AF367" s="161"/>
    </row>
    <row r="368" spans="5:32">
      <c r="E368" s="157"/>
      <c r="F368" s="157"/>
      <c r="H368" s="158"/>
      <c r="I368" s="158"/>
      <c r="R368" s="161"/>
      <c r="S368" s="161"/>
      <c r="V368" s="162"/>
      <c r="W368" s="162"/>
      <c r="AF368" s="161"/>
    </row>
    <row r="369" spans="5:32">
      <c r="E369" s="157"/>
      <c r="F369" s="157"/>
      <c r="H369" s="158"/>
      <c r="I369" s="158"/>
      <c r="R369" s="161"/>
      <c r="S369" s="161"/>
      <c r="V369" s="162"/>
      <c r="W369" s="162"/>
      <c r="AF369" s="161"/>
    </row>
    <row r="370" spans="5:32">
      <c r="E370" s="157"/>
      <c r="F370" s="157"/>
      <c r="H370" s="158"/>
      <c r="I370" s="158"/>
      <c r="R370" s="161"/>
      <c r="S370" s="161"/>
      <c r="V370" s="162"/>
      <c r="W370" s="162"/>
      <c r="AF370" s="161"/>
    </row>
    <row r="371" spans="5:32">
      <c r="E371" s="157"/>
      <c r="F371" s="157"/>
      <c r="H371" s="158"/>
      <c r="I371" s="158"/>
      <c r="R371" s="161"/>
      <c r="S371" s="161"/>
      <c r="V371" s="162"/>
      <c r="W371" s="162"/>
      <c r="AF371" s="161"/>
    </row>
    <row r="372" spans="5:32">
      <c r="E372" s="157"/>
      <c r="F372" s="157"/>
      <c r="H372" s="158"/>
      <c r="I372" s="158"/>
      <c r="R372" s="161"/>
      <c r="S372" s="161"/>
      <c r="V372" s="162"/>
      <c r="W372" s="162"/>
      <c r="AF372" s="161"/>
    </row>
    <row r="373" spans="5:32">
      <c r="E373" s="157"/>
      <c r="F373" s="157"/>
      <c r="H373" s="158"/>
      <c r="I373" s="158"/>
      <c r="R373" s="161"/>
      <c r="S373" s="161"/>
      <c r="V373" s="162"/>
      <c r="W373" s="162"/>
      <c r="AF373" s="161"/>
    </row>
    <row r="374" spans="5:32">
      <c r="E374" s="157"/>
      <c r="F374" s="157"/>
      <c r="H374" s="158"/>
      <c r="I374" s="158"/>
      <c r="R374" s="161"/>
      <c r="S374" s="161"/>
      <c r="V374" s="162"/>
      <c r="W374" s="162"/>
      <c r="AF374" s="161"/>
    </row>
    <row r="375" spans="5:32">
      <c r="E375" s="157"/>
      <c r="F375" s="157"/>
      <c r="H375" s="158"/>
      <c r="I375" s="158"/>
      <c r="R375" s="161"/>
      <c r="S375" s="161"/>
      <c r="V375" s="162"/>
      <c r="W375" s="162"/>
      <c r="AF375" s="161"/>
    </row>
    <row r="376" spans="5:32">
      <c r="E376" s="157"/>
      <c r="F376" s="157"/>
      <c r="H376" s="158"/>
      <c r="I376" s="158"/>
      <c r="R376" s="161"/>
      <c r="S376" s="161"/>
      <c r="V376" s="162"/>
      <c r="W376" s="162"/>
      <c r="AF376" s="161"/>
    </row>
    <row r="377" spans="5:32">
      <c r="E377" s="157"/>
      <c r="F377" s="157"/>
      <c r="H377" s="158"/>
      <c r="I377" s="158"/>
      <c r="R377" s="161"/>
      <c r="S377" s="161"/>
      <c r="V377" s="162"/>
      <c r="W377" s="162"/>
      <c r="AF377" s="161"/>
    </row>
    <row r="378" spans="5:32">
      <c r="E378" s="157"/>
      <c r="F378" s="157"/>
      <c r="H378" s="158"/>
      <c r="I378" s="158"/>
      <c r="R378" s="161"/>
      <c r="S378" s="161"/>
      <c r="V378" s="162"/>
      <c r="W378" s="162"/>
      <c r="AF378" s="161"/>
    </row>
    <row r="379" spans="5:32">
      <c r="E379" s="157"/>
      <c r="F379" s="157"/>
      <c r="H379" s="158"/>
      <c r="I379" s="158"/>
      <c r="R379" s="161"/>
      <c r="S379" s="161"/>
      <c r="V379" s="162"/>
      <c r="W379" s="162"/>
      <c r="AF379" s="161"/>
    </row>
    <row r="380" spans="5:32">
      <c r="E380" s="157"/>
      <c r="F380" s="157"/>
      <c r="H380" s="158"/>
      <c r="I380" s="158"/>
      <c r="R380" s="161"/>
      <c r="S380" s="161"/>
      <c r="V380" s="162"/>
      <c r="W380" s="162"/>
      <c r="AF380" s="161"/>
    </row>
    <row r="381" spans="5:32">
      <c r="E381" s="157"/>
      <c r="F381" s="157"/>
      <c r="H381" s="158"/>
      <c r="I381" s="158"/>
      <c r="R381" s="161"/>
      <c r="S381" s="161"/>
      <c r="V381" s="162"/>
      <c r="W381" s="162"/>
      <c r="AF381" s="161"/>
    </row>
    <row r="382" spans="5:32">
      <c r="E382" s="157"/>
      <c r="F382" s="157"/>
      <c r="H382" s="158"/>
      <c r="I382" s="158"/>
      <c r="R382" s="161"/>
      <c r="S382" s="161"/>
      <c r="V382" s="162"/>
      <c r="W382" s="162"/>
      <c r="AF382" s="161"/>
    </row>
    <row r="383" spans="5:32">
      <c r="E383" s="157"/>
      <c r="F383" s="157"/>
      <c r="H383" s="158"/>
      <c r="I383" s="158"/>
      <c r="R383" s="161"/>
      <c r="S383" s="161"/>
      <c r="V383" s="162"/>
      <c r="W383" s="162"/>
      <c r="AF383" s="161"/>
    </row>
    <row r="384" spans="5:32">
      <c r="E384" s="157"/>
      <c r="F384" s="157"/>
      <c r="H384" s="158"/>
      <c r="I384" s="158"/>
      <c r="R384" s="161"/>
      <c r="S384" s="161"/>
      <c r="V384" s="162"/>
      <c r="W384" s="162"/>
      <c r="AF384" s="161"/>
    </row>
    <row r="385" spans="5:32">
      <c r="E385" s="157"/>
      <c r="F385" s="157"/>
      <c r="H385" s="158"/>
      <c r="I385" s="158"/>
      <c r="R385" s="161"/>
      <c r="S385" s="161"/>
      <c r="V385" s="162"/>
      <c r="W385" s="162"/>
      <c r="AF385" s="161"/>
    </row>
    <row r="386" spans="5:32">
      <c r="E386" s="157"/>
      <c r="F386" s="157"/>
      <c r="H386" s="158"/>
      <c r="I386" s="158"/>
      <c r="R386" s="161"/>
      <c r="S386" s="161"/>
      <c r="V386" s="162"/>
      <c r="W386" s="162"/>
      <c r="AF386" s="161"/>
    </row>
    <row r="387" spans="5:32">
      <c r="E387" s="157"/>
      <c r="F387" s="157"/>
      <c r="H387" s="158"/>
      <c r="I387" s="158"/>
      <c r="R387" s="161"/>
      <c r="S387" s="161"/>
      <c r="V387" s="162"/>
      <c r="W387" s="162"/>
      <c r="AF387" s="161"/>
    </row>
    <row r="388" spans="5:32">
      <c r="E388" s="157"/>
      <c r="F388" s="157"/>
      <c r="H388" s="158"/>
      <c r="I388" s="158"/>
      <c r="R388" s="161"/>
      <c r="S388" s="161"/>
      <c r="V388" s="162"/>
      <c r="W388" s="162"/>
      <c r="AF388" s="161"/>
    </row>
    <row r="389" spans="5:32">
      <c r="E389" s="157"/>
      <c r="F389" s="157"/>
      <c r="H389" s="158"/>
      <c r="I389" s="158"/>
      <c r="R389" s="161"/>
      <c r="S389" s="161"/>
      <c r="V389" s="162"/>
      <c r="W389" s="162"/>
      <c r="AF389" s="161"/>
    </row>
    <row r="390" spans="5:32">
      <c r="E390" s="157"/>
      <c r="F390" s="157"/>
      <c r="H390" s="158"/>
      <c r="I390" s="158"/>
      <c r="R390" s="161"/>
      <c r="S390" s="161"/>
      <c r="V390" s="162"/>
      <c r="W390" s="162"/>
      <c r="AF390" s="161"/>
    </row>
    <row r="391" spans="5:32">
      <c r="E391" s="157"/>
      <c r="F391" s="157"/>
      <c r="H391" s="158"/>
      <c r="I391" s="158"/>
      <c r="R391" s="161"/>
      <c r="S391" s="161"/>
      <c r="V391" s="162"/>
      <c r="W391" s="162"/>
      <c r="AF391" s="161"/>
    </row>
    <row r="392" spans="5:32">
      <c r="E392" s="157"/>
      <c r="F392" s="157"/>
      <c r="H392" s="158"/>
      <c r="I392" s="158"/>
      <c r="R392" s="161"/>
      <c r="S392" s="161"/>
      <c r="V392" s="162"/>
      <c r="W392" s="162"/>
      <c r="AF392" s="161"/>
    </row>
    <row r="393" spans="5:32">
      <c r="E393" s="157"/>
      <c r="F393" s="157"/>
      <c r="H393" s="158"/>
      <c r="I393" s="158"/>
      <c r="R393" s="161"/>
      <c r="S393" s="161"/>
      <c r="V393" s="162"/>
      <c r="W393" s="162"/>
      <c r="AF393" s="161"/>
    </row>
    <row r="394" spans="5:32">
      <c r="E394" s="157"/>
      <c r="F394" s="157"/>
      <c r="H394" s="158"/>
      <c r="I394" s="158"/>
      <c r="R394" s="161"/>
      <c r="S394" s="161"/>
      <c r="V394" s="162"/>
      <c r="W394" s="162"/>
      <c r="AF394" s="161"/>
    </row>
    <row r="395" spans="5:32">
      <c r="E395" s="157"/>
      <c r="F395" s="157"/>
      <c r="H395" s="158"/>
      <c r="I395" s="158"/>
      <c r="R395" s="161"/>
      <c r="S395" s="161"/>
      <c r="V395" s="162"/>
      <c r="W395" s="162"/>
      <c r="AF395" s="161"/>
    </row>
    <row r="396" spans="5:32">
      <c r="E396" s="157"/>
      <c r="F396" s="157"/>
      <c r="H396" s="158"/>
      <c r="I396" s="158"/>
      <c r="R396" s="161"/>
      <c r="S396" s="161"/>
      <c r="V396" s="162"/>
      <c r="W396" s="162"/>
      <c r="AF396" s="161"/>
    </row>
    <row r="397" spans="5:32">
      <c r="E397" s="157"/>
      <c r="F397" s="157"/>
      <c r="H397" s="158"/>
      <c r="I397" s="158"/>
      <c r="R397" s="161"/>
      <c r="S397" s="161"/>
      <c r="V397" s="162"/>
      <c r="W397" s="162"/>
      <c r="AF397" s="161"/>
    </row>
    <row r="398" spans="5:32">
      <c r="E398" s="157"/>
      <c r="F398" s="157"/>
      <c r="H398" s="158"/>
      <c r="I398" s="158"/>
      <c r="R398" s="161"/>
      <c r="S398" s="161"/>
      <c r="V398" s="162"/>
      <c r="W398" s="162"/>
      <c r="AF398" s="161"/>
    </row>
    <row r="399" spans="5:32">
      <c r="E399" s="157"/>
      <c r="F399" s="157"/>
      <c r="H399" s="158"/>
      <c r="I399" s="158"/>
      <c r="R399" s="161"/>
      <c r="S399" s="161"/>
      <c r="V399" s="162"/>
      <c r="W399" s="162"/>
      <c r="AF399" s="161"/>
    </row>
    <row r="400" spans="5:32">
      <c r="E400" s="157"/>
      <c r="F400" s="157"/>
      <c r="H400" s="158"/>
      <c r="I400" s="158"/>
      <c r="R400" s="161"/>
      <c r="S400" s="161"/>
      <c r="V400" s="162"/>
      <c r="W400" s="162"/>
      <c r="AF400" s="161"/>
    </row>
    <row r="401" spans="5:42">
      <c r="E401" s="157"/>
      <c r="F401" s="157"/>
      <c r="H401" s="158"/>
      <c r="I401" s="158"/>
      <c r="R401" s="161"/>
      <c r="S401" s="161"/>
      <c r="V401" s="162"/>
      <c r="W401" s="162"/>
      <c r="AF401" s="161"/>
    </row>
    <row r="402" spans="5:42">
      <c r="E402" s="157"/>
      <c r="F402" s="157"/>
      <c r="H402" s="158"/>
      <c r="I402" s="158"/>
      <c r="R402" s="161"/>
      <c r="S402" s="161"/>
      <c r="V402" s="162"/>
      <c r="W402" s="162"/>
      <c r="AF402" s="161"/>
    </row>
    <row r="403" spans="5:42">
      <c r="E403" s="157"/>
      <c r="F403" s="157"/>
      <c r="H403" s="158"/>
      <c r="I403" s="158"/>
      <c r="R403" s="161"/>
      <c r="S403" s="161"/>
      <c r="V403" s="162"/>
      <c r="W403" s="162"/>
      <c r="AF403" s="161"/>
    </row>
    <row r="404" spans="5:42">
      <c r="E404" s="157"/>
      <c r="F404" s="157"/>
      <c r="H404" s="158"/>
      <c r="I404" s="158"/>
      <c r="R404" s="161"/>
      <c r="S404" s="161"/>
      <c r="V404" s="162"/>
      <c r="W404" s="162"/>
      <c r="AF404" s="161"/>
    </row>
    <row r="405" spans="5:42">
      <c r="E405" s="157"/>
      <c r="F405" s="157"/>
      <c r="H405" s="158"/>
      <c r="I405" s="158"/>
      <c r="R405" s="161"/>
      <c r="S405" s="161"/>
      <c r="V405" s="162"/>
      <c r="W405" s="162"/>
      <c r="AF405" s="161"/>
    </row>
    <row r="406" spans="5:42">
      <c r="E406" s="157"/>
      <c r="F406" s="157"/>
      <c r="H406" s="158"/>
      <c r="I406" s="158"/>
      <c r="R406" s="161"/>
      <c r="S406" s="161"/>
      <c r="V406" s="162"/>
      <c r="W406" s="162"/>
      <c r="AF406" s="161"/>
    </row>
    <row r="407" spans="5:42">
      <c r="E407" s="157"/>
      <c r="F407" s="157"/>
      <c r="H407" s="158"/>
      <c r="I407" s="158"/>
      <c r="R407" s="161"/>
      <c r="S407" s="161"/>
      <c r="V407" s="162"/>
      <c r="W407" s="162"/>
      <c r="AF407" s="161"/>
    </row>
    <row r="408" spans="5:42">
      <c r="E408" s="157"/>
      <c r="F408" s="157"/>
      <c r="H408" s="158"/>
      <c r="I408" s="158"/>
      <c r="R408" s="161"/>
      <c r="S408" s="161"/>
      <c r="V408" s="162"/>
      <c r="W408" s="162"/>
      <c r="AF408" s="161"/>
    </row>
    <row r="409" spans="5:42">
      <c r="E409" s="157"/>
      <c r="F409" s="157"/>
      <c r="H409" s="158"/>
      <c r="I409" s="158"/>
      <c r="R409" s="161"/>
      <c r="S409" s="161"/>
      <c r="V409" s="162"/>
      <c r="W409" s="162"/>
      <c r="AF409" s="161"/>
    </row>
    <row r="410" spans="5:42">
      <c r="E410" s="157"/>
      <c r="F410" s="157"/>
      <c r="H410" s="158"/>
      <c r="I410" s="158"/>
      <c r="R410" s="161"/>
      <c r="S410" s="161"/>
      <c r="V410" s="162"/>
      <c r="W410" s="162"/>
      <c r="AF410" s="161"/>
    </row>
    <row r="411" spans="5:42">
      <c r="E411" s="157"/>
      <c r="F411" s="157"/>
      <c r="H411" s="158"/>
      <c r="I411" s="158"/>
      <c r="R411" s="161"/>
      <c r="S411" s="161"/>
      <c r="V411" s="162"/>
      <c r="W411" s="162"/>
      <c r="AF411" s="161"/>
    </row>
    <row r="412" spans="5:42">
      <c r="E412" s="157"/>
      <c r="F412" s="157"/>
      <c r="H412" s="158"/>
      <c r="I412" s="158"/>
      <c r="R412" s="161"/>
      <c r="S412" s="161"/>
      <c r="V412" s="162"/>
      <c r="W412" s="162"/>
      <c r="AF412" s="161"/>
    </row>
    <row r="413" spans="5:42">
      <c r="E413" s="157"/>
      <c r="F413" s="157"/>
      <c r="H413" s="158"/>
      <c r="I413" s="158"/>
      <c r="R413" s="161"/>
      <c r="S413" s="161"/>
      <c r="V413" s="162"/>
      <c r="W413" s="162"/>
      <c r="AF413" s="161"/>
    </row>
    <row r="414" spans="5:42">
      <c r="E414" s="157"/>
      <c r="F414" s="157"/>
      <c r="G414" s="161"/>
      <c r="H414" s="158"/>
      <c r="I414" s="158"/>
      <c r="J414" s="161"/>
      <c r="K414" s="161"/>
      <c r="N414" s="161"/>
      <c r="O414" s="161"/>
      <c r="P414" s="161"/>
      <c r="Q414" s="165"/>
      <c r="R414" s="161"/>
      <c r="S414" s="161"/>
      <c r="T414" s="161"/>
      <c r="U414" s="161"/>
      <c r="V414" s="161"/>
      <c r="W414" s="161"/>
      <c r="AF414" s="161"/>
      <c r="AG414" s="161"/>
      <c r="AH414" s="161"/>
      <c r="AI414" s="161"/>
      <c r="AJ414" s="161"/>
      <c r="AL414" s="161"/>
      <c r="AM414" s="161"/>
      <c r="AN414" s="161"/>
      <c r="AO414" s="161"/>
      <c r="AP414" s="161"/>
    </row>
    <row r="415" spans="5:42">
      <c r="E415" s="157"/>
      <c r="F415" s="157"/>
      <c r="H415" s="158"/>
      <c r="I415" s="158"/>
      <c r="R415" s="161"/>
      <c r="S415" s="161"/>
      <c r="V415" s="162"/>
      <c r="W415" s="162"/>
      <c r="AF415" s="161"/>
    </row>
    <row r="416" spans="5:42">
      <c r="E416" s="157"/>
      <c r="F416" s="157"/>
      <c r="H416" s="158"/>
      <c r="I416" s="158"/>
      <c r="R416" s="161"/>
      <c r="S416" s="161"/>
      <c r="V416" s="162"/>
      <c r="W416" s="162"/>
      <c r="AF416" s="161"/>
    </row>
    <row r="417" spans="5:32">
      <c r="E417" s="157"/>
      <c r="F417" s="157"/>
      <c r="H417" s="158"/>
      <c r="I417" s="158"/>
      <c r="R417" s="161"/>
      <c r="S417" s="161"/>
      <c r="V417" s="162"/>
      <c r="W417" s="162"/>
      <c r="AF417" s="161"/>
    </row>
    <row r="418" spans="5:32">
      <c r="E418" s="157"/>
      <c r="F418" s="157"/>
      <c r="H418" s="158"/>
      <c r="I418" s="158"/>
      <c r="R418" s="161"/>
      <c r="S418" s="161"/>
      <c r="V418" s="162"/>
      <c r="W418" s="162"/>
      <c r="AF418" s="161"/>
    </row>
    <row r="419" spans="5:32">
      <c r="E419" s="157"/>
      <c r="F419" s="157"/>
      <c r="H419" s="158"/>
      <c r="I419" s="158"/>
      <c r="R419" s="161"/>
      <c r="S419" s="161"/>
      <c r="V419" s="162"/>
      <c r="W419" s="162"/>
      <c r="AF419" s="161"/>
    </row>
    <row r="420" spans="5:32">
      <c r="E420" s="157"/>
      <c r="F420" s="157"/>
      <c r="H420" s="158"/>
      <c r="I420" s="158"/>
      <c r="R420" s="161"/>
      <c r="S420" s="161"/>
      <c r="V420" s="162"/>
      <c r="W420" s="162"/>
      <c r="AF420" s="161"/>
    </row>
    <row r="421" spans="5:32">
      <c r="E421" s="157"/>
      <c r="F421" s="157"/>
      <c r="H421" s="158"/>
      <c r="I421" s="158"/>
      <c r="R421" s="161"/>
      <c r="S421" s="161"/>
      <c r="V421" s="162"/>
      <c r="W421" s="162"/>
      <c r="AF421" s="161"/>
    </row>
    <row r="422" spans="5:32">
      <c r="E422" s="157"/>
      <c r="F422" s="157"/>
      <c r="H422" s="158"/>
      <c r="I422" s="158"/>
      <c r="R422" s="161"/>
      <c r="S422" s="161"/>
      <c r="V422" s="162"/>
      <c r="W422" s="162"/>
      <c r="AF422" s="161"/>
    </row>
    <row r="423" spans="5:32">
      <c r="E423" s="157"/>
      <c r="F423" s="157"/>
      <c r="H423" s="158"/>
      <c r="I423" s="158"/>
      <c r="R423" s="161"/>
      <c r="S423" s="161"/>
      <c r="V423" s="162"/>
      <c r="W423" s="162"/>
      <c r="AF423" s="161"/>
    </row>
    <row r="424" spans="5:32">
      <c r="E424" s="157"/>
      <c r="F424" s="157"/>
      <c r="H424" s="158"/>
      <c r="I424" s="158"/>
      <c r="R424" s="161"/>
      <c r="S424" s="161"/>
      <c r="V424" s="162"/>
      <c r="W424" s="162"/>
      <c r="AF424" s="161"/>
    </row>
    <row r="425" spans="5:32">
      <c r="E425" s="157"/>
      <c r="F425" s="157"/>
      <c r="H425" s="158"/>
      <c r="I425" s="158"/>
      <c r="R425" s="161"/>
      <c r="S425" s="161"/>
      <c r="V425" s="162"/>
      <c r="W425" s="162"/>
      <c r="AF425" s="161"/>
    </row>
    <row r="426" spans="5:32">
      <c r="E426" s="157"/>
      <c r="F426" s="157"/>
      <c r="H426" s="158"/>
      <c r="I426" s="158"/>
      <c r="R426" s="161"/>
      <c r="S426" s="161"/>
      <c r="V426" s="162"/>
      <c r="W426" s="162"/>
      <c r="AF426" s="161"/>
    </row>
    <row r="427" spans="5:32">
      <c r="E427" s="157"/>
      <c r="F427" s="157"/>
      <c r="H427" s="158"/>
      <c r="I427" s="158"/>
      <c r="R427" s="161"/>
      <c r="S427" s="161"/>
      <c r="V427" s="162"/>
      <c r="W427" s="162"/>
      <c r="AF427" s="161"/>
    </row>
    <row r="428" spans="5:32">
      <c r="E428" s="157"/>
      <c r="F428" s="157"/>
      <c r="H428" s="158"/>
      <c r="I428" s="158"/>
      <c r="R428" s="161"/>
      <c r="S428" s="161"/>
      <c r="V428" s="162"/>
      <c r="W428" s="162"/>
      <c r="AF428" s="161"/>
    </row>
    <row r="429" spans="5:32">
      <c r="E429" s="157"/>
      <c r="F429" s="157"/>
      <c r="H429" s="158"/>
      <c r="I429" s="158"/>
      <c r="R429" s="161"/>
      <c r="S429" s="161"/>
      <c r="V429" s="162"/>
      <c r="W429" s="162"/>
      <c r="AF429" s="161"/>
    </row>
    <row r="430" spans="5:32">
      <c r="E430" s="157"/>
      <c r="F430" s="157"/>
      <c r="H430" s="158"/>
      <c r="I430" s="158"/>
      <c r="R430" s="161"/>
      <c r="S430" s="161"/>
      <c r="V430" s="162"/>
      <c r="W430" s="162"/>
      <c r="AF430" s="161"/>
    </row>
    <row r="431" spans="5:32">
      <c r="E431" s="157"/>
      <c r="F431" s="157"/>
      <c r="H431" s="158"/>
      <c r="I431" s="158"/>
      <c r="R431" s="161"/>
      <c r="S431" s="161"/>
      <c r="V431" s="162"/>
      <c r="W431" s="162"/>
      <c r="AF431" s="161"/>
    </row>
    <row r="432" spans="5:32">
      <c r="E432" s="157"/>
      <c r="F432" s="157"/>
      <c r="H432" s="158"/>
      <c r="I432" s="158"/>
      <c r="R432" s="161"/>
      <c r="S432" s="161"/>
      <c r="V432" s="162"/>
      <c r="W432" s="162"/>
      <c r="AF432" s="161"/>
    </row>
    <row r="433" spans="5:32">
      <c r="E433" s="157"/>
      <c r="F433" s="157"/>
      <c r="H433" s="158"/>
      <c r="I433" s="158"/>
      <c r="R433" s="161"/>
      <c r="S433" s="161"/>
      <c r="V433" s="162"/>
      <c r="W433" s="162"/>
      <c r="AF433" s="161"/>
    </row>
    <row r="434" spans="5:32">
      <c r="E434" s="157"/>
      <c r="F434" s="157"/>
      <c r="H434" s="158"/>
      <c r="I434" s="158"/>
      <c r="R434" s="161"/>
      <c r="S434" s="161"/>
      <c r="V434" s="162"/>
      <c r="W434" s="162"/>
      <c r="AF434" s="161"/>
    </row>
    <row r="435" spans="5:32">
      <c r="E435" s="157"/>
      <c r="F435" s="157"/>
      <c r="H435" s="158"/>
      <c r="I435" s="158"/>
      <c r="R435" s="161"/>
      <c r="S435" s="161"/>
      <c r="V435" s="162"/>
      <c r="W435" s="162"/>
      <c r="AF435" s="161"/>
    </row>
    <row r="436" spans="5:32">
      <c r="E436" s="157"/>
      <c r="F436" s="157"/>
      <c r="H436" s="158"/>
      <c r="I436" s="158"/>
      <c r="R436" s="161"/>
      <c r="S436" s="161"/>
      <c r="V436" s="162"/>
      <c r="W436" s="162"/>
      <c r="AF436" s="161"/>
    </row>
    <row r="437" spans="5:32">
      <c r="E437" s="157"/>
      <c r="F437" s="157"/>
      <c r="H437" s="158"/>
      <c r="I437" s="158"/>
      <c r="R437" s="161"/>
      <c r="S437" s="161"/>
      <c r="V437" s="162"/>
      <c r="W437" s="162"/>
      <c r="AF437" s="161"/>
    </row>
    <row r="438" spans="5:32">
      <c r="E438" s="157"/>
      <c r="F438" s="157"/>
      <c r="H438" s="158"/>
      <c r="I438" s="158"/>
      <c r="R438" s="161"/>
      <c r="S438" s="161"/>
      <c r="V438" s="162"/>
      <c r="W438" s="162"/>
      <c r="AF438" s="161"/>
    </row>
    <row r="439" spans="5:32">
      <c r="E439" s="157"/>
      <c r="F439" s="157"/>
      <c r="H439" s="158"/>
      <c r="I439" s="158"/>
      <c r="R439" s="161"/>
      <c r="S439" s="161"/>
      <c r="V439" s="162"/>
      <c r="W439" s="162"/>
      <c r="AF439" s="161"/>
    </row>
    <row r="440" spans="5:32">
      <c r="E440" s="157"/>
      <c r="F440" s="157"/>
      <c r="H440" s="158"/>
      <c r="I440" s="158"/>
      <c r="R440" s="161"/>
      <c r="S440" s="161"/>
      <c r="V440" s="162"/>
      <c r="W440" s="162"/>
      <c r="AF440" s="161"/>
    </row>
    <row r="441" spans="5:32">
      <c r="E441" s="157"/>
      <c r="F441" s="157"/>
      <c r="H441" s="158"/>
      <c r="I441" s="158"/>
      <c r="R441" s="161"/>
      <c r="S441" s="161"/>
      <c r="V441" s="162"/>
      <c r="W441" s="162"/>
      <c r="AF441" s="161"/>
    </row>
    <row r="442" spans="5:32">
      <c r="E442" s="157"/>
      <c r="F442" s="157"/>
      <c r="H442" s="158"/>
      <c r="I442" s="158"/>
      <c r="R442" s="161"/>
      <c r="S442" s="161"/>
      <c r="V442" s="162"/>
      <c r="W442" s="162"/>
      <c r="AF442" s="161"/>
    </row>
    <row r="443" spans="5:32">
      <c r="E443" s="157"/>
      <c r="F443" s="157"/>
      <c r="H443" s="158"/>
      <c r="I443" s="158"/>
      <c r="R443" s="161"/>
      <c r="S443" s="161"/>
      <c r="V443" s="162"/>
      <c r="W443" s="162"/>
      <c r="AF443" s="161"/>
    </row>
    <row r="444" spans="5:32">
      <c r="E444" s="157"/>
      <c r="F444" s="157"/>
      <c r="H444" s="158"/>
      <c r="I444" s="158"/>
      <c r="R444" s="161"/>
      <c r="S444" s="161"/>
      <c r="V444" s="162"/>
      <c r="W444" s="162"/>
      <c r="AF444" s="161"/>
    </row>
    <row r="445" spans="5:32">
      <c r="E445" s="157"/>
      <c r="F445" s="157"/>
      <c r="H445" s="158"/>
      <c r="I445" s="158"/>
      <c r="R445" s="161"/>
      <c r="S445" s="161"/>
      <c r="V445" s="162"/>
      <c r="W445" s="162"/>
      <c r="AF445" s="161"/>
    </row>
    <row r="446" spans="5:32">
      <c r="E446" s="157"/>
      <c r="F446" s="157"/>
      <c r="H446" s="158"/>
      <c r="I446" s="158"/>
      <c r="R446" s="161"/>
      <c r="S446" s="161"/>
      <c r="V446" s="162"/>
      <c r="W446" s="162"/>
      <c r="AF446" s="161"/>
    </row>
    <row r="447" spans="5:32">
      <c r="E447" s="157"/>
      <c r="F447" s="157"/>
      <c r="H447" s="158"/>
      <c r="I447" s="158"/>
      <c r="R447" s="161"/>
      <c r="S447" s="161"/>
      <c r="V447" s="162"/>
      <c r="W447" s="162"/>
      <c r="AF447" s="161"/>
    </row>
    <row r="448" spans="5:32">
      <c r="E448" s="157"/>
      <c r="F448" s="157"/>
      <c r="H448" s="158"/>
      <c r="I448" s="158"/>
      <c r="R448" s="161"/>
      <c r="S448" s="161"/>
      <c r="V448" s="162"/>
      <c r="W448" s="162"/>
      <c r="AF448" s="161"/>
    </row>
    <row r="449" spans="5:32">
      <c r="E449" s="157"/>
      <c r="F449" s="157"/>
      <c r="H449" s="158"/>
      <c r="I449" s="158"/>
      <c r="R449" s="161"/>
      <c r="S449" s="161"/>
      <c r="V449" s="162"/>
      <c r="W449" s="162"/>
      <c r="AF449" s="161"/>
    </row>
    <row r="450" spans="5:32">
      <c r="E450" s="157"/>
      <c r="F450" s="157"/>
      <c r="H450" s="158"/>
      <c r="I450" s="158"/>
      <c r="R450" s="161"/>
      <c r="S450" s="161"/>
      <c r="V450" s="162"/>
      <c r="W450" s="162"/>
      <c r="AF450" s="161"/>
    </row>
    <row r="451" spans="5:32">
      <c r="E451" s="157"/>
      <c r="F451" s="157"/>
      <c r="H451" s="158"/>
      <c r="I451" s="158"/>
      <c r="R451" s="161"/>
      <c r="S451" s="161"/>
      <c r="V451" s="162"/>
      <c r="W451" s="162"/>
      <c r="AF451" s="161"/>
    </row>
    <row r="452" spans="5:32">
      <c r="E452" s="157"/>
      <c r="F452" s="157"/>
      <c r="H452" s="158"/>
      <c r="I452" s="158"/>
      <c r="R452" s="161"/>
      <c r="S452" s="161"/>
      <c r="V452" s="162"/>
      <c r="W452" s="162"/>
      <c r="AF452" s="161"/>
    </row>
    <row r="453" spans="5:32">
      <c r="E453" s="157"/>
      <c r="F453" s="157"/>
      <c r="H453" s="158"/>
      <c r="I453" s="158"/>
      <c r="R453" s="161"/>
      <c r="S453" s="161"/>
      <c r="V453" s="162"/>
      <c r="W453" s="162"/>
      <c r="AF453" s="161"/>
    </row>
    <row r="454" spans="5:32">
      <c r="E454" s="157"/>
      <c r="F454" s="157"/>
      <c r="H454" s="158"/>
      <c r="I454" s="158"/>
      <c r="R454" s="161"/>
      <c r="S454" s="161"/>
      <c r="V454" s="162"/>
      <c r="W454" s="162"/>
      <c r="AF454" s="161"/>
    </row>
    <row r="455" spans="5:32">
      <c r="E455" s="157"/>
      <c r="F455" s="157"/>
      <c r="H455" s="158"/>
      <c r="I455" s="158"/>
      <c r="R455" s="161"/>
      <c r="S455" s="161"/>
      <c r="V455" s="162"/>
      <c r="W455" s="162"/>
      <c r="AF455" s="161"/>
    </row>
    <row r="456" spans="5:32">
      <c r="E456" s="157"/>
      <c r="F456" s="157"/>
      <c r="H456" s="158"/>
      <c r="I456" s="158"/>
      <c r="R456" s="161"/>
      <c r="S456" s="161"/>
      <c r="V456" s="162"/>
      <c r="W456" s="162"/>
      <c r="AF456" s="161"/>
    </row>
    <row r="457" spans="5:32">
      <c r="E457" s="157"/>
      <c r="F457" s="157"/>
      <c r="H457" s="158"/>
      <c r="I457" s="158"/>
      <c r="R457" s="161"/>
      <c r="S457" s="161"/>
      <c r="V457" s="162"/>
      <c r="W457" s="162"/>
      <c r="AF457" s="161"/>
    </row>
    <row r="458" spans="5:32">
      <c r="E458" s="157"/>
      <c r="F458" s="157"/>
      <c r="H458" s="158"/>
      <c r="I458" s="158"/>
      <c r="R458" s="161"/>
      <c r="S458" s="161"/>
      <c r="V458" s="162"/>
      <c r="W458" s="162"/>
      <c r="AF458" s="161"/>
    </row>
    <row r="459" spans="5:32">
      <c r="E459" s="157"/>
      <c r="F459" s="157"/>
      <c r="H459" s="158"/>
      <c r="I459" s="158"/>
      <c r="R459" s="161"/>
      <c r="S459" s="161"/>
      <c r="V459" s="162"/>
      <c r="W459" s="162"/>
      <c r="AF459" s="161"/>
    </row>
    <row r="460" spans="5:32">
      <c r="E460" s="157"/>
      <c r="F460" s="157"/>
      <c r="H460" s="158"/>
      <c r="I460" s="158"/>
      <c r="R460" s="161"/>
      <c r="S460" s="161"/>
      <c r="V460" s="162"/>
      <c r="W460" s="162"/>
      <c r="AF460" s="161"/>
    </row>
    <row r="461" spans="5:32">
      <c r="E461" s="157"/>
      <c r="F461" s="157"/>
      <c r="H461" s="158"/>
      <c r="I461" s="158"/>
      <c r="R461" s="161"/>
      <c r="S461" s="161"/>
      <c r="V461" s="162"/>
      <c r="W461" s="162"/>
      <c r="AF461" s="161"/>
    </row>
    <row r="462" spans="5:32">
      <c r="E462" s="157"/>
      <c r="F462" s="157"/>
      <c r="H462" s="158"/>
      <c r="I462" s="158"/>
      <c r="R462" s="161"/>
      <c r="S462" s="161"/>
      <c r="V462" s="162"/>
      <c r="W462" s="162"/>
      <c r="AF462" s="161"/>
    </row>
    <row r="463" spans="5:32">
      <c r="E463" s="157"/>
      <c r="F463" s="157"/>
      <c r="H463" s="158"/>
      <c r="I463" s="158"/>
      <c r="R463" s="161"/>
      <c r="S463" s="161"/>
      <c r="V463" s="162"/>
      <c r="W463" s="162"/>
      <c r="AF463" s="161"/>
    </row>
    <row r="464" spans="5:32">
      <c r="E464" s="157"/>
      <c r="F464" s="157"/>
      <c r="H464" s="158"/>
      <c r="I464" s="158"/>
      <c r="R464" s="161"/>
      <c r="S464" s="161"/>
      <c r="V464" s="162"/>
      <c r="W464" s="162"/>
      <c r="AF464" s="161"/>
    </row>
    <row r="465" spans="5:32">
      <c r="E465" s="157"/>
      <c r="F465" s="157"/>
      <c r="H465" s="158"/>
      <c r="I465" s="158"/>
      <c r="R465" s="161"/>
      <c r="S465" s="161"/>
      <c r="V465" s="162"/>
      <c r="W465" s="162"/>
      <c r="AF465" s="161"/>
    </row>
    <row r="466" spans="5:32">
      <c r="E466" s="157"/>
      <c r="F466" s="157"/>
      <c r="H466" s="158"/>
      <c r="I466" s="158"/>
      <c r="R466" s="161"/>
      <c r="S466" s="161"/>
      <c r="V466" s="162"/>
      <c r="W466" s="162"/>
      <c r="AF466" s="161"/>
    </row>
    <row r="467" spans="5:32">
      <c r="E467" s="157"/>
      <c r="F467" s="157"/>
      <c r="H467" s="158"/>
      <c r="I467" s="158"/>
      <c r="R467" s="161"/>
      <c r="S467" s="161"/>
      <c r="V467" s="162"/>
      <c r="W467" s="162"/>
      <c r="AF467" s="161"/>
    </row>
    <row r="468" spans="5:32">
      <c r="E468" s="157"/>
      <c r="F468" s="157"/>
      <c r="H468" s="158"/>
      <c r="I468" s="158"/>
      <c r="R468" s="161"/>
      <c r="S468" s="161"/>
      <c r="V468" s="162"/>
      <c r="W468" s="162"/>
      <c r="AF468" s="161"/>
    </row>
    <row r="469" spans="5:32">
      <c r="E469" s="157"/>
      <c r="F469" s="157"/>
      <c r="H469" s="158"/>
      <c r="I469" s="158"/>
      <c r="R469" s="161"/>
      <c r="S469" s="161"/>
      <c r="V469" s="162"/>
      <c r="W469" s="162"/>
      <c r="AF469" s="161"/>
    </row>
    <row r="470" spans="5:32">
      <c r="E470" s="157"/>
      <c r="F470" s="157"/>
      <c r="H470" s="158"/>
      <c r="I470" s="158"/>
      <c r="R470" s="161"/>
      <c r="S470" s="161"/>
      <c r="V470" s="162"/>
      <c r="W470" s="162"/>
      <c r="AF470" s="161"/>
    </row>
    <row r="471" spans="5:32">
      <c r="E471" s="157"/>
      <c r="F471" s="157"/>
      <c r="H471" s="158"/>
      <c r="I471" s="158"/>
      <c r="R471" s="161"/>
      <c r="S471" s="161"/>
      <c r="V471" s="162"/>
      <c r="W471" s="162"/>
      <c r="AF471" s="161"/>
    </row>
    <row r="472" spans="5:32">
      <c r="E472" s="157"/>
      <c r="F472" s="157"/>
      <c r="H472" s="158"/>
      <c r="I472" s="158"/>
      <c r="R472" s="161"/>
      <c r="S472" s="161"/>
      <c r="V472" s="162"/>
      <c r="W472" s="162"/>
      <c r="AF472" s="161"/>
    </row>
    <row r="473" spans="5:32">
      <c r="E473" s="157"/>
      <c r="F473" s="157"/>
      <c r="H473" s="158"/>
      <c r="I473" s="158"/>
      <c r="R473" s="161"/>
      <c r="S473" s="161"/>
      <c r="V473" s="162"/>
      <c r="W473" s="162"/>
      <c r="AF473" s="161"/>
    </row>
    <row r="474" spans="5:32">
      <c r="E474" s="157"/>
      <c r="F474" s="157"/>
      <c r="H474" s="158"/>
      <c r="I474" s="158"/>
      <c r="R474" s="161"/>
      <c r="S474" s="161"/>
      <c r="V474" s="162"/>
      <c r="W474" s="162"/>
      <c r="AF474" s="161"/>
    </row>
    <row r="475" spans="5:32">
      <c r="E475" s="157"/>
      <c r="F475" s="157"/>
      <c r="H475" s="158"/>
      <c r="I475" s="158"/>
      <c r="R475" s="161"/>
      <c r="S475" s="161"/>
      <c r="V475" s="162"/>
      <c r="W475" s="162"/>
      <c r="AF475" s="161"/>
    </row>
    <row r="476" spans="5:32">
      <c r="E476" s="157"/>
      <c r="F476" s="157"/>
      <c r="H476" s="158"/>
      <c r="I476" s="158"/>
      <c r="R476" s="161"/>
      <c r="S476" s="161"/>
      <c r="V476" s="162"/>
      <c r="W476" s="162"/>
      <c r="AF476" s="161"/>
    </row>
    <row r="477" spans="5:32">
      <c r="E477" s="157"/>
      <c r="F477" s="157"/>
      <c r="H477" s="158"/>
      <c r="I477" s="158"/>
      <c r="R477" s="161"/>
      <c r="S477" s="161"/>
      <c r="V477" s="162"/>
      <c r="W477" s="162"/>
      <c r="AF477" s="161"/>
    </row>
    <row r="478" spans="5:32">
      <c r="E478" s="157"/>
      <c r="F478" s="157"/>
      <c r="H478" s="158"/>
      <c r="I478" s="158"/>
      <c r="R478" s="161"/>
      <c r="S478" s="161"/>
      <c r="V478" s="162"/>
      <c r="W478" s="162"/>
      <c r="AF478" s="161"/>
    </row>
    <row r="479" spans="5:32">
      <c r="E479" s="157"/>
      <c r="F479" s="157"/>
      <c r="H479" s="158"/>
      <c r="I479" s="158"/>
      <c r="R479" s="161"/>
      <c r="S479" s="161"/>
      <c r="V479" s="162"/>
      <c r="W479" s="162"/>
      <c r="AF479" s="161"/>
    </row>
    <row r="480" spans="5:32">
      <c r="E480" s="157"/>
      <c r="F480" s="157"/>
      <c r="H480" s="158"/>
      <c r="I480" s="158"/>
      <c r="R480" s="161"/>
      <c r="S480" s="161"/>
      <c r="V480" s="162"/>
      <c r="W480" s="162"/>
      <c r="AF480" s="161"/>
    </row>
    <row r="481" spans="5:42">
      <c r="E481" s="157"/>
      <c r="F481" s="157"/>
      <c r="H481" s="158"/>
      <c r="I481" s="158"/>
      <c r="R481" s="161"/>
      <c r="S481" s="161"/>
      <c r="V481" s="162"/>
      <c r="W481" s="162"/>
      <c r="AF481" s="161"/>
    </row>
    <row r="482" spans="5:42">
      <c r="E482" s="157"/>
      <c r="F482" s="157"/>
      <c r="H482" s="158"/>
      <c r="I482" s="158"/>
      <c r="R482" s="161"/>
      <c r="S482" s="161"/>
      <c r="V482" s="162"/>
      <c r="W482" s="162"/>
      <c r="AF482" s="161"/>
    </row>
    <row r="483" spans="5:42">
      <c r="E483" s="157"/>
      <c r="F483" s="157"/>
      <c r="H483" s="158"/>
      <c r="I483" s="158"/>
      <c r="R483" s="161"/>
      <c r="S483" s="161"/>
      <c r="V483" s="162"/>
      <c r="W483" s="162"/>
      <c r="AF483" s="161"/>
    </row>
    <row r="484" spans="5:42">
      <c r="E484" s="157"/>
      <c r="F484" s="157"/>
      <c r="H484" s="158"/>
      <c r="I484" s="158"/>
      <c r="R484" s="161"/>
      <c r="S484" s="161"/>
      <c r="V484" s="162"/>
      <c r="W484" s="162"/>
      <c r="AF484" s="161"/>
    </row>
    <row r="485" spans="5:42">
      <c r="E485" s="157"/>
      <c r="F485" s="157"/>
      <c r="H485" s="158"/>
      <c r="I485" s="158"/>
      <c r="R485" s="161"/>
      <c r="S485" s="161"/>
      <c r="V485" s="162"/>
      <c r="W485" s="162"/>
      <c r="AF485" s="161"/>
    </row>
    <row r="486" spans="5:42">
      <c r="E486" s="157"/>
      <c r="F486" s="157"/>
      <c r="H486" s="158"/>
      <c r="I486" s="158"/>
      <c r="R486" s="161"/>
      <c r="S486" s="161"/>
      <c r="V486" s="162"/>
      <c r="W486" s="162"/>
      <c r="AF486" s="161"/>
    </row>
    <row r="487" spans="5:42">
      <c r="E487" s="157"/>
      <c r="F487" s="157"/>
      <c r="H487" s="158"/>
      <c r="I487" s="158"/>
      <c r="R487" s="161"/>
      <c r="S487" s="161"/>
      <c r="V487" s="162"/>
      <c r="W487" s="162"/>
      <c r="AF487" s="161"/>
    </row>
    <row r="488" spans="5:42">
      <c r="E488" s="157"/>
      <c r="F488" s="157"/>
      <c r="H488" s="158"/>
      <c r="I488" s="158"/>
      <c r="R488" s="161"/>
      <c r="S488" s="161"/>
      <c r="V488" s="162"/>
      <c r="W488" s="162"/>
      <c r="AF488" s="161"/>
    </row>
    <row r="489" spans="5:42">
      <c r="E489" s="157"/>
      <c r="F489" s="157"/>
      <c r="H489" s="158"/>
      <c r="I489" s="158"/>
      <c r="R489" s="161"/>
      <c r="S489" s="161"/>
      <c r="V489" s="162"/>
      <c r="W489" s="162"/>
      <c r="AF489" s="161"/>
    </row>
    <row r="490" spans="5:42">
      <c r="E490" s="157"/>
      <c r="F490" s="157"/>
      <c r="H490" s="158"/>
      <c r="I490" s="158"/>
      <c r="R490" s="161"/>
      <c r="S490" s="161"/>
      <c r="V490" s="162"/>
      <c r="W490" s="162"/>
      <c r="AF490" s="161"/>
    </row>
    <row r="491" spans="5:42">
      <c r="E491" s="157"/>
      <c r="F491" s="157"/>
      <c r="H491" s="158"/>
      <c r="I491" s="158"/>
      <c r="R491" s="161"/>
      <c r="S491" s="161"/>
      <c r="V491" s="162"/>
      <c r="W491" s="162"/>
      <c r="AF491" s="161"/>
    </row>
    <row r="492" spans="5:42">
      <c r="E492" s="157"/>
      <c r="F492" s="157"/>
      <c r="G492" s="161"/>
      <c r="H492" s="158"/>
      <c r="I492" s="158"/>
      <c r="J492" s="161"/>
      <c r="K492" s="161"/>
      <c r="N492" s="161"/>
      <c r="O492" s="161"/>
      <c r="P492" s="161"/>
      <c r="Q492" s="165"/>
      <c r="R492" s="161"/>
      <c r="S492" s="161"/>
      <c r="T492" s="161"/>
      <c r="U492" s="161"/>
      <c r="V492" s="161"/>
      <c r="W492" s="161"/>
      <c r="AF492" s="161"/>
      <c r="AG492" s="161"/>
      <c r="AH492" s="161"/>
      <c r="AI492" s="161"/>
      <c r="AJ492" s="161"/>
      <c r="AL492" s="161"/>
      <c r="AM492" s="161"/>
      <c r="AN492" s="161"/>
      <c r="AO492" s="161"/>
      <c r="AP492" s="161"/>
    </row>
    <row r="493" spans="5:42">
      <c r="E493" s="157"/>
      <c r="F493" s="157"/>
      <c r="H493" s="158"/>
      <c r="I493" s="158"/>
      <c r="R493" s="161"/>
      <c r="S493" s="161"/>
      <c r="V493" s="162"/>
      <c r="W493" s="162"/>
      <c r="AF493" s="161"/>
    </row>
    <row r="494" spans="5:42">
      <c r="E494" s="157"/>
      <c r="F494" s="157"/>
      <c r="H494" s="158"/>
      <c r="I494" s="158"/>
      <c r="R494" s="161"/>
      <c r="S494" s="161"/>
      <c r="V494" s="162"/>
      <c r="W494" s="162"/>
      <c r="AF494" s="161"/>
    </row>
    <row r="495" spans="5:42">
      <c r="E495" s="157"/>
      <c r="F495" s="157"/>
      <c r="H495" s="158"/>
      <c r="I495" s="158"/>
      <c r="R495" s="161"/>
      <c r="S495" s="161"/>
      <c r="V495" s="162"/>
      <c r="W495" s="162"/>
      <c r="AF495" s="161"/>
    </row>
    <row r="496" spans="5:42">
      <c r="E496" s="157"/>
      <c r="F496" s="157"/>
      <c r="H496" s="158"/>
      <c r="I496" s="158"/>
      <c r="R496" s="161"/>
      <c r="S496" s="161"/>
      <c r="V496" s="162"/>
      <c r="W496" s="162"/>
      <c r="AF496" s="161"/>
    </row>
    <row r="497" spans="5:32">
      <c r="E497" s="157"/>
      <c r="F497" s="157"/>
      <c r="H497" s="158"/>
      <c r="I497" s="158"/>
      <c r="R497" s="161"/>
      <c r="S497" s="161"/>
      <c r="V497" s="162"/>
      <c r="W497" s="162"/>
      <c r="AF497" s="161"/>
    </row>
    <row r="498" spans="5:32">
      <c r="E498" s="157"/>
      <c r="F498" s="157"/>
      <c r="H498" s="158"/>
      <c r="I498" s="158"/>
      <c r="R498" s="161"/>
      <c r="S498" s="161"/>
      <c r="V498" s="162"/>
      <c r="W498" s="162"/>
      <c r="AF498" s="161"/>
    </row>
    <row r="499" spans="5:32">
      <c r="E499" s="157"/>
      <c r="F499" s="157"/>
      <c r="H499" s="158"/>
      <c r="I499" s="158"/>
      <c r="R499" s="161"/>
      <c r="S499" s="161"/>
      <c r="V499" s="162"/>
      <c r="W499" s="162"/>
      <c r="AF499" s="161"/>
    </row>
    <row r="500" spans="5:32">
      <c r="E500" s="157"/>
      <c r="F500" s="157"/>
      <c r="H500" s="158"/>
      <c r="I500" s="158"/>
      <c r="R500" s="161"/>
      <c r="S500" s="161"/>
      <c r="V500" s="162"/>
      <c r="W500" s="162"/>
      <c r="AF500" s="161"/>
    </row>
    <row r="501" spans="5:32">
      <c r="E501" s="157"/>
      <c r="F501" s="157"/>
      <c r="H501" s="158"/>
      <c r="I501" s="158"/>
      <c r="R501" s="161"/>
      <c r="S501" s="161"/>
      <c r="V501" s="162"/>
      <c r="W501" s="162"/>
      <c r="AF501" s="161"/>
    </row>
    <row r="502" spans="5:32">
      <c r="E502" s="157"/>
      <c r="F502" s="157"/>
      <c r="H502" s="158"/>
      <c r="I502" s="158"/>
      <c r="R502" s="161"/>
      <c r="S502" s="161"/>
      <c r="V502" s="162"/>
      <c r="W502" s="162"/>
      <c r="AF502" s="161"/>
    </row>
    <row r="503" spans="5:32">
      <c r="E503" s="157"/>
      <c r="F503" s="157"/>
      <c r="H503" s="158"/>
      <c r="I503" s="158"/>
      <c r="R503" s="161"/>
      <c r="S503" s="161"/>
      <c r="V503" s="162"/>
      <c r="W503" s="162"/>
      <c r="AF503" s="161"/>
    </row>
    <row r="504" spans="5:32">
      <c r="E504" s="157"/>
      <c r="F504" s="157"/>
      <c r="H504" s="158"/>
      <c r="I504" s="158"/>
      <c r="R504" s="161"/>
      <c r="S504" s="161"/>
      <c r="V504" s="162"/>
      <c r="W504" s="162"/>
      <c r="AF504" s="161"/>
    </row>
    <row r="505" spans="5:32">
      <c r="E505" s="157"/>
      <c r="F505" s="157"/>
      <c r="H505" s="158"/>
      <c r="I505" s="158"/>
      <c r="R505" s="161"/>
      <c r="S505" s="161"/>
      <c r="V505" s="162"/>
      <c r="W505" s="162"/>
      <c r="AF505" s="161"/>
    </row>
    <row r="506" spans="5:32">
      <c r="E506" s="157"/>
      <c r="F506" s="157"/>
      <c r="H506" s="158"/>
      <c r="I506" s="158"/>
      <c r="R506" s="161"/>
      <c r="S506" s="161"/>
      <c r="V506" s="162"/>
      <c r="W506" s="162"/>
      <c r="AF506" s="161"/>
    </row>
    <row r="507" spans="5:32">
      <c r="E507" s="157"/>
      <c r="F507" s="157"/>
      <c r="H507" s="158"/>
      <c r="I507" s="158"/>
      <c r="R507" s="161"/>
      <c r="S507" s="161"/>
      <c r="V507" s="162"/>
      <c r="W507" s="162"/>
      <c r="AF507" s="161"/>
    </row>
    <row r="508" spans="5:32">
      <c r="E508" s="157"/>
      <c r="F508" s="157"/>
      <c r="H508" s="158"/>
      <c r="I508" s="158"/>
      <c r="R508" s="161"/>
      <c r="S508" s="161"/>
      <c r="V508" s="162"/>
      <c r="W508" s="162"/>
      <c r="AF508" s="161"/>
    </row>
    <row r="509" spans="5:32">
      <c r="E509" s="157"/>
      <c r="F509" s="157"/>
      <c r="H509" s="158"/>
      <c r="I509" s="158"/>
      <c r="R509" s="161"/>
      <c r="S509" s="161"/>
      <c r="V509" s="162"/>
      <c r="W509" s="162"/>
      <c r="AF509" s="161"/>
    </row>
    <row r="510" spans="5:32">
      <c r="E510" s="157"/>
      <c r="F510" s="157"/>
      <c r="H510" s="158"/>
      <c r="I510" s="158"/>
      <c r="R510" s="161"/>
      <c r="S510" s="161"/>
      <c r="V510" s="162"/>
      <c r="W510" s="162"/>
      <c r="AF510" s="161"/>
    </row>
    <row r="511" spans="5:32">
      <c r="E511" s="157"/>
      <c r="F511" s="157"/>
      <c r="H511" s="158"/>
      <c r="I511" s="158"/>
      <c r="R511" s="161"/>
      <c r="S511" s="161"/>
      <c r="V511" s="162"/>
      <c r="W511" s="162"/>
      <c r="AF511" s="161"/>
    </row>
    <row r="512" spans="5:32">
      <c r="E512" s="157"/>
      <c r="F512" s="157"/>
      <c r="H512" s="158"/>
      <c r="I512" s="158"/>
      <c r="R512" s="161"/>
      <c r="S512" s="161"/>
      <c r="V512" s="162"/>
      <c r="W512" s="162"/>
      <c r="AF512" s="161"/>
    </row>
    <row r="513" spans="5:42">
      <c r="E513" s="157"/>
      <c r="F513" s="157"/>
      <c r="H513" s="158"/>
      <c r="I513" s="158"/>
      <c r="R513" s="161"/>
      <c r="S513" s="161"/>
      <c r="V513" s="162"/>
      <c r="W513" s="162"/>
      <c r="AF513" s="161"/>
    </row>
    <row r="514" spans="5:42">
      <c r="E514" s="157"/>
      <c r="F514" s="157"/>
      <c r="H514" s="158"/>
      <c r="I514" s="158"/>
      <c r="R514" s="161"/>
      <c r="S514" s="161"/>
      <c r="V514" s="162"/>
      <c r="W514" s="162"/>
      <c r="AF514" s="161"/>
    </row>
    <row r="515" spans="5:42">
      <c r="E515" s="157"/>
      <c r="F515" s="157"/>
      <c r="H515" s="158"/>
      <c r="I515" s="158"/>
      <c r="R515" s="161"/>
      <c r="S515" s="161"/>
      <c r="V515" s="162"/>
      <c r="W515" s="162"/>
      <c r="AF515" s="161"/>
    </row>
    <row r="516" spans="5:42">
      <c r="E516" s="157"/>
      <c r="F516" s="157"/>
      <c r="H516" s="158"/>
      <c r="I516" s="158"/>
      <c r="R516" s="161"/>
      <c r="S516" s="161"/>
      <c r="V516" s="162"/>
      <c r="W516" s="162"/>
      <c r="AF516" s="161"/>
    </row>
    <row r="517" spans="5:42">
      <c r="E517" s="157"/>
      <c r="F517" s="157"/>
      <c r="H517" s="158"/>
      <c r="I517" s="158"/>
      <c r="R517" s="161"/>
      <c r="S517" s="161"/>
      <c r="V517" s="162"/>
      <c r="W517" s="162"/>
      <c r="AF517" s="161"/>
    </row>
    <row r="518" spans="5:42">
      <c r="E518" s="157"/>
      <c r="F518" s="157"/>
      <c r="H518" s="158"/>
      <c r="I518" s="158"/>
      <c r="R518" s="161"/>
      <c r="S518" s="161"/>
      <c r="V518" s="162"/>
      <c r="W518" s="162"/>
      <c r="AF518" s="161"/>
    </row>
    <row r="519" spans="5:42">
      <c r="E519" s="157"/>
      <c r="F519" s="157"/>
      <c r="H519" s="158"/>
      <c r="I519" s="158"/>
      <c r="R519" s="161"/>
      <c r="S519" s="161"/>
      <c r="V519" s="162"/>
      <c r="W519" s="162"/>
      <c r="AF519" s="161"/>
    </row>
    <row r="520" spans="5:42">
      <c r="E520" s="157"/>
      <c r="F520" s="157"/>
      <c r="H520" s="158"/>
      <c r="I520" s="158"/>
      <c r="R520" s="161"/>
      <c r="S520" s="161"/>
      <c r="V520" s="162"/>
      <c r="W520" s="162"/>
      <c r="AF520" s="161"/>
    </row>
    <row r="521" spans="5:42">
      <c r="E521" s="157"/>
      <c r="F521" s="157"/>
      <c r="H521" s="158"/>
      <c r="I521" s="158"/>
      <c r="R521" s="161"/>
      <c r="S521" s="161"/>
      <c r="V521" s="162"/>
      <c r="W521" s="162"/>
      <c r="AF521" s="161"/>
    </row>
    <row r="522" spans="5:42">
      <c r="E522" s="157"/>
      <c r="F522" s="157"/>
      <c r="G522" s="161"/>
      <c r="H522" s="158"/>
      <c r="I522" s="158"/>
      <c r="J522" s="161"/>
      <c r="K522" s="161"/>
      <c r="N522" s="161"/>
      <c r="O522" s="161"/>
      <c r="P522" s="161"/>
      <c r="Q522" s="165"/>
      <c r="R522" s="161"/>
      <c r="S522" s="161"/>
      <c r="T522" s="161"/>
      <c r="U522" s="161"/>
      <c r="V522" s="161"/>
      <c r="W522" s="161"/>
      <c r="AF522" s="161"/>
      <c r="AG522" s="161"/>
      <c r="AH522" s="161"/>
      <c r="AI522" s="161"/>
      <c r="AJ522" s="161"/>
      <c r="AL522" s="161"/>
      <c r="AM522" s="161"/>
      <c r="AN522" s="161"/>
      <c r="AO522" s="161"/>
      <c r="AP522" s="161"/>
    </row>
    <row r="523" spans="5:42">
      <c r="E523" s="157"/>
      <c r="F523" s="157"/>
      <c r="H523" s="158"/>
      <c r="I523" s="158"/>
      <c r="R523" s="161"/>
      <c r="S523" s="161"/>
      <c r="V523" s="162"/>
      <c r="W523" s="162"/>
      <c r="AF523" s="161"/>
    </row>
    <row r="524" spans="5:42">
      <c r="E524" s="157"/>
      <c r="F524" s="157"/>
      <c r="H524" s="158"/>
      <c r="I524" s="158"/>
      <c r="R524" s="161"/>
      <c r="S524" s="161"/>
      <c r="V524" s="162"/>
      <c r="W524" s="162"/>
      <c r="AF524" s="161"/>
    </row>
    <row r="525" spans="5:42">
      <c r="E525" s="157"/>
      <c r="F525" s="157"/>
      <c r="H525" s="158"/>
      <c r="I525" s="158"/>
      <c r="R525" s="161"/>
      <c r="S525" s="161"/>
      <c r="V525" s="162"/>
      <c r="W525" s="162"/>
      <c r="AF525" s="161"/>
    </row>
    <row r="526" spans="5:42">
      <c r="E526" s="157"/>
      <c r="F526" s="157"/>
      <c r="H526" s="158"/>
      <c r="I526" s="158"/>
      <c r="R526" s="161"/>
      <c r="S526" s="161"/>
      <c r="V526" s="162"/>
      <c r="W526" s="162"/>
      <c r="AF526" s="161"/>
    </row>
    <row r="527" spans="5:42">
      <c r="E527" s="157"/>
      <c r="F527" s="157"/>
      <c r="H527" s="158"/>
      <c r="I527" s="158"/>
      <c r="R527" s="161"/>
      <c r="S527" s="161"/>
      <c r="V527" s="162"/>
      <c r="W527" s="162"/>
      <c r="AF527" s="161"/>
    </row>
    <row r="528" spans="5:42">
      <c r="E528" s="157"/>
      <c r="F528" s="157"/>
      <c r="H528" s="158"/>
      <c r="I528" s="158"/>
      <c r="R528" s="161"/>
      <c r="S528" s="161"/>
      <c r="V528" s="162"/>
      <c r="W528" s="162"/>
      <c r="AF528" s="161"/>
    </row>
    <row r="529" spans="5:32">
      <c r="E529" s="157"/>
      <c r="F529" s="157"/>
      <c r="H529" s="158"/>
      <c r="I529" s="158"/>
      <c r="R529" s="161"/>
      <c r="S529" s="161"/>
      <c r="V529" s="162"/>
      <c r="W529" s="162"/>
      <c r="AF529" s="161"/>
    </row>
    <row r="530" spans="5:32">
      <c r="E530" s="157"/>
      <c r="F530" s="157"/>
      <c r="H530" s="158"/>
      <c r="I530" s="158"/>
      <c r="R530" s="161"/>
      <c r="S530" s="161"/>
      <c r="V530" s="162"/>
      <c r="W530" s="162"/>
      <c r="AF530" s="161"/>
    </row>
    <row r="531" spans="5:32">
      <c r="E531" s="157"/>
      <c r="F531" s="157"/>
      <c r="H531" s="158"/>
      <c r="I531" s="158"/>
      <c r="R531" s="161"/>
      <c r="S531" s="161"/>
      <c r="V531" s="162"/>
      <c r="W531" s="162"/>
      <c r="AF531" s="161"/>
    </row>
    <row r="532" spans="5:32">
      <c r="E532" s="157"/>
      <c r="F532" s="157"/>
      <c r="H532" s="158"/>
      <c r="I532" s="158"/>
      <c r="R532" s="161"/>
      <c r="S532" s="161"/>
      <c r="V532" s="162"/>
      <c r="W532" s="162"/>
      <c r="AF532" s="161"/>
    </row>
    <row r="533" spans="5:32">
      <c r="E533" s="157"/>
      <c r="F533" s="157"/>
      <c r="H533" s="158"/>
      <c r="I533" s="158"/>
      <c r="R533" s="161"/>
      <c r="S533" s="161"/>
      <c r="V533" s="162"/>
      <c r="W533" s="162"/>
      <c r="AF533" s="161"/>
    </row>
    <row r="534" spans="5:32">
      <c r="E534" s="157"/>
      <c r="F534" s="157"/>
      <c r="H534" s="158"/>
      <c r="I534" s="158"/>
      <c r="R534" s="161"/>
      <c r="S534" s="161"/>
      <c r="V534" s="162"/>
      <c r="W534" s="162"/>
      <c r="AF534" s="161"/>
    </row>
    <row r="535" spans="5:32">
      <c r="E535" s="157"/>
      <c r="F535" s="157"/>
      <c r="H535" s="158"/>
      <c r="I535" s="158"/>
      <c r="R535" s="161"/>
      <c r="S535" s="161"/>
      <c r="V535" s="162"/>
      <c r="W535" s="162"/>
      <c r="AF535" s="161"/>
    </row>
    <row r="536" spans="5:32">
      <c r="E536" s="157"/>
      <c r="F536" s="157"/>
      <c r="H536" s="158"/>
      <c r="I536" s="158"/>
      <c r="R536" s="161"/>
      <c r="S536" s="161"/>
      <c r="V536" s="162"/>
      <c r="W536" s="162"/>
      <c r="AF536" s="161"/>
    </row>
    <row r="537" spans="5:32">
      <c r="E537" s="157"/>
      <c r="F537" s="157"/>
      <c r="H537" s="158"/>
      <c r="I537" s="158"/>
      <c r="R537" s="161"/>
      <c r="S537" s="161"/>
      <c r="V537" s="162"/>
      <c r="W537" s="162"/>
      <c r="AF537" s="161"/>
    </row>
    <row r="538" spans="5:32">
      <c r="E538" s="157"/>
      <c r="F538" s="157"/>
      <c r="H538" s="158"/>
      <c r="I538" s="158"/>
      <c r="R538" s="161"/>
      <c r="S538" s="161"/>
      <c r="V538" s="162"/>
      <c r="W538" s="162"/>
      <c r="AF538" s="161"/>
    </row>
    <row r="539" spans="5:32">
      <c r="E539" s="157"/>
      <c r="F539" s="157"/>
      <c r="H539" s="158"/>
      <c r="I539" s="158"/>
      <c r="R539" s="161"/>
      <c r="S539" s="161"/>
      <c r="V539" s="162"/>
      <c r="W539" s="162"/>
      <c r="AF539" s="161"/>
    </row>
    <row r="540" spans="5:32">
      <c r="E540" s="157"/>
      <c r="F540" s="157"/>
      <c r="H540" s="158"/>
      <c r="I540" s="158"/>
      <c r="R540" s="161"/>
      <c r="S540" s="161"/>
      <c r="V540" s="162"/>
      <c r="W540" s="162"/>
      <c r="AF540" s="161"/>
    </row>
    <row r="541" spans="5:32">
      <c r="E541" s="157"/>
      <c r="F541" s="157"/>
      <c r="H541" s="158"/>
      <c r="I541" s="158"/>
      <c r="R541" s="161"/>
      <c r="S541" s="161"/>
      <c r="V541" s="162"/>
      <c r="W541" s="162"/>
      <c r="AF541" s="161"/>
    </row>
    <row r="542" spans="5:32">
      <c r="E542" s="157"/>
      <c r="F542" s="157"/>
      <c r="H542" s="158"/>
      <c r="I542" s="158"/>
      <c r="R542" s="161"/>
      <c r="S542" s="161"/>
      <c r="V542" s="162"/>
      <c r="W542" s="162"/>
      <c r="AF542" s="161"/>
    </row>
    <row r="543" spans="5:32">
      <c r="E543" s="157"/>
      <c r="F543" s="157"/>
      <c r="H543" s="158"/>
      <c r="I543" s="158"/>
      <c r="R543" s="161"/>
      <c r="S543" s="161"/>
      <c r="V543" s="162"/>
      <c r="W543" s="162"/>
      <c r="AF543" s="161"/>
    </row>
    <row r="544" spans="5:32">
      <c r="E544" s="157"/>
      <c r="F544" s="157"/>
      <c r="H544" s="158"/>
      <c r="I544" s="158"/>
      <c r="R544" s="161"/>
      <c r="S544" s="161"/>
      <c r="V544" s="162"/>
      <c r="W544" s="162"/>
      <c r="AF544" s="161"/>
    </row>
    <row r="545" spans="5:32">
      <c r="E545" s="157"/>
      <c r="F545" s="157"/>
      <c r="H545" s="158"/>
      <c r="I545" s="158"/>
      <c r="R545" s="161"/>
      <c r="S545" s="161"/>
      <c r="V545" s="162"/>
      <c r="W545" s="162"/>
      <c r="AF545" s="161"/>
    </row>
    <row r="546" spans="5:32">
      <c r="E546" s="157"/>
      <c r="F546" s="157"/>
      <c r="H546" s="158"/>
      <c r="I546" s="158"/>
      <c r="R546" s="161"/>
      <c r="S546" s="161"/>
      <c r="V546" s="162"/>
      <c r="W546" s="162"/>
      <c r="AF546" s="161"/>
    </row>
    <row r="547" spans="5:32">
      <c r="E547" s="157"/>
      <c r="F547" s="157"/>
      <c r="H547" s="158"/>
      <c r="I547" s="158"/>
      <c r="R547" s="161"/>
      <c r="S547" s="161"/>
      <c r="V547" s="162"/>
      <c r="W547" s="162"/>
      <c r="AF547" s="161"/>
    </row>
    <row r="548" spans="5:32">
      <c r="E548" s="157"/>
      <c r="F548" s="157"/>
      <c r="H548" s="158"/>
      <c r="I548" s="158"/>
      <c r="R548" s="161"/>
      <c r="S548" s="161"/>
      <c r="V548" s="162"/>
      <c r="W548" s="162"/>
      <c r="AF548" s="161"/>
    </row>
    <row r="549" spans="5:32">
      <c r="E549" s="157"/>
      <c r="F549" s="157"/>
      <c r="H549" s="158"/>
      <c r="I549" s="158"/>
      <c r="R549" s="161"/>
      <c r="S549" s="161"/>
      <c r="V549" s="162"/>
      <c r="W549" s="162"/>
      <c r="AF549" s="161"/>
    </row>
    <row r="550" spans="5:32">
      <c r="E550" s="157"/>
      <c r="F550" s="157"/>
      <c r="H550" s="158"/>
      <c r="I550" s="158"/>
      <c r="R550" s="161"/>
      <c r="S550" s="161"/>
      <c r="V550" s="162"/>
      <c r="W550" s="162"/>
      <c r="AF550" s="161"/>
    </row>
    <row r="551" spans="5:32">
      <c r="E551" s="157"/>
      <c r="F551" s="157"/>
      <c r="H551" s="158"/>
      <c r="I551" s="158"/>
      <c r="R551" s="161"/>
      <c r="S551" s="161"/>
      <c r="V551" s="162"/>
      <c r="W551" s="162"/>
      <c r="AF551" s="161"/>
    </row>
    <row r="552" spans="5:32">
      <c r="E552" s="157"/>
      <c r="F552" s="157"/>
      <c r="H552" s="158"/>
      <c r="I552" s="158"/>
      <c r="R552" s="161"/>
      <c r="S552" s="161"/>
      <c r="V552" s="162"/>
      <c r="W552" s="162"/>
      <c r="AF552" s="161"/>
    </row>
    <row r="553" spans="5:32">
      <c r="E553" s="157"/>
      <c r="F553" s="157"/>
      <c r="H553" s="158"/>
      <c r="I553" s="158"/>
      <c r="R553" s="161"/>
      <c r="S553" s="161"/>
      <c r="V553" s="162"/>
      <c r="W553" s="162"/>
      <c r="AF553" s="161"/>
    </row>
    <row r="554" spans="5:32">
      <c r="E554" s="157"/>
      <c r="F554" s="157"/>
      <c r="H554" s="158"/>
      <c r="I554" s="158"/>
      <c r="R554" s="161"/>
      <c r="S554" s="161"/>
      <c r="V554" s="162"/>
      <c r="W554" s="162"/>
      <c r="AF554" s="161"/>
    </row>
    <row r="555" spans="5:32">
      <c r="E555" s="157"/>
      <c r="F555" s="157"/>
      <c r="H555" s="158"/>
      <c r="I555" s="158"/>
      <c r="R555" s="161"/>
      <c r="S555" s="161"/>
      <c r="V555" s="162"/>
      <c r="W555" s="162"/>
      <c r="AF555" s="161"/>
    </row>
    <row r="556" spans="5:32">
      <c r="E556" s="157"/>
      <c r="F556" s="157"/>
      <c r="H556" s="158"/>
      <c r="I556" s="158"/>
      <c r="R556" s="161"/>
      <c r="S556" s="161"/>
      <c r="V556" s="162"/>
      <c r="W556" s="162"/>
      <c r="AF556" s="161"/>
    </row>
    <row r="557" spans="5:32">
      <c r="E557" s="157"/>
      <c r="F557" s="157"/>
      <c r="H557" s="158"/>
      <c r="I557" s="158"/>
      <c r="R557" s="161"/>
      <c r="S557" s="161"/>
      <c r="V557" s="162"/>
      <c r="W557" s="162"/>
      <c r="AF557" s="161"/>
    </row>
    <row r="558" spans="5:32">
      <c r="E558" s="157"/>
      <c r="F558" s="157"/>
      <c r="H558" s="158"/>
      <c r="I558" s="158"/>
      <c r="R558" s="161"/>
      <c r="S558" s="161"/>
      <c r="V558" s="162"/>
      <c r="W558" s="162"/>
      <c r="AF558" s="161"/>
    </row>
    <row r="559" spans="5:32">
      <c r="E559" s="157"/>
      <c r="F559" s="157"/>
      <c r="H559" s="158"/>
      <c r="I559" s="158"/>
      <c r="R559" s="161"/>
      <c r="S559" s="161"/>
      <c r="V559" s="162"/>
      <c r="W559" s="162"/>
      <c r="AF559" s="161"/>
    </row>
    <row r="560" spans="5:32">
      <c r="E560" s="157"/>
      <c r="F560" s="157"/>
      <c r="H560" s="158"/>
      <c r="I560" s="158"/>
      <c r="R560" s="161"/>
      <c r="S560" s="161"/>
      <c r="V560" s="162"/>
      <c r="W560" s="162"/>
      <c r="AF560" s="161"/>
    </row>
    <row r="561" spans="5:32">
      <c r="E561" s="157"/>
      <c r="F561" s="157"/>
      <c r="H561" s="158"/>
      <c r="I561" s="158"/>
      <c r="R561" s="161"/>
      <c r="S561" s="161"/>
      <c r="V561" s="162"/>
      <c r="W561" s="162"/>
      <c r="AF561" s="161"/>
    </row>
    <row r="562" spans="5:32">
      <c r="E562" s="157"/>
      <c r="F562" s="157"/>
      <c r="H562" s="158"/>
      <c r="I562" s="158"/>
      <c r="R562" s="161"/>
      <c r="S562" s="161"/>
      <c r="V562" s="162"/>
      <c r="W562" s="162"/>
      <c r="AF562" s="161"/>
    </row>
    <row r="563" spans="5:32">
      <c r="E563" s="157"/>
      <c r="F563" s="157"/>
      <c r="H563" s="158"/>
      <c r="I563" s="158"/>
      <c r="R563" s="161"/>
      <c r="S563" s="161"/>
      <c r="V563" s="162"/>
      <c r="W563" s="162"/>
      <c r="AF563" s="161"/>
    </row>
    <row r="564" spans="5:32">
      <c r="E564" s="157"/>
      <c r="F564" s="157"/>
      <c r="H564" s="158"/>
      <c r="I564" s="158"/>
      <c r="R564" s="161"/>
      <c r="S564" s="161"/>
      <c r="V564" s="162"/>
      <c r="W564" s="162"/>
      <c r="AF564" s="161"/>
    </row>
    <row r="565" spans="5:32">
      <c r="E565" s="157"/>
      <c r="F565" s="157"/>
      <c r="H565" s="158"/>
      <c r="I565" s="158"/>
      <c r="R565" s="161"/>
      <c r="S565" s="161"/>
      <c r="V565" s="162"/>
      <c r="W565" s="162"/>
      <c r="AF565" s="161"/>
    </row>
    <row r="566" spans="5:32">
      <c r="E566" s="157"/>
      <c r="F566" s="157"/>
      <c r="H566" s="158"/>
      <c r="I566" s="158"/>
      <c r="R566" s="161"/>
      <c r="S566" s="161"/>
      <c r="V566" s="162"/>
      <c r="W566" s="162"/>
      <c r="AF566" s="161"/>
    </row>
    <row r="567" spans="5:32">
      <c r="E567" s="157"/>
      <c r="F567" s="157"/>
      <c r="H567" s="158"/>
      <c r="I567" s="158"/>
      <c r="R567" s="161"/>
      <c r="S567" s="161"/>
      <c r="V567" s="162"/>
      <c r="W567" s="162"/>
      <c r="AF567" s="161"/>
    </row>
    <row r="568" spans="5:32">
      <c r="E568" s="157"/>
      <c r="F568" s="157"/>
      <c r="H568" s="158"/>
      <c r="I568" s="158"/>
      <c r="R568" s="161"/>
      <c r="S568" s="161"/>
      <c r="V568" s="162"/>
      <c r="W568" s="162"/>
      <c r="AF568" s="161"/>
    </row>
    <row r="569" spans="5:32">
      <c r="E569" s="157"/>
      <c r="F569" s="157"/>
      <c r="H569" s="158"/>
      <c r="I569" s="158"/>
      <c r="R569" s="161"/>
      <c r="S569" s="161"/>
      <c r="V569" s="162"/>
      <c r="W569" s="162"/>
      <c r="AF569" s="161"/>
    </row>
    <row r="570" spans="5:32">
      <c r="E570" s="157"/>
      <c r="F570" s="157"/>
      <c r="H570" s="158"/>
      <c r="I570" s="158"/>
      <c r="R570" s="161"/>
      <c r="S570" s="161"/>
      <c r="V570" s="162"/>
      <c r="W570" s="162"/>
      <c r="AF570" s="161"/>
    </row>
    <row r="571" spans="5:32">
      <c r="E571" s="157"/>
      <c r="F571" s="157"/>
      <c r="H571" s="158"/>
      <c r="I571" s="158"/>
      <c r="R571" s="161"/>
      <c r="S571" s="161"/>
      <c r="V571" s="162"/>
      <c r="W571" s="162"/>
      <c r="AF571" s="161"/>
    </row>
    <row r="572" spans="5:32">
      <c r="E572" s="157"/>
      <c r="F572" s="157"/>
      <c r="H572" s="158"/>
      <c r="I572" s="158"/>
      <c r="R572" s="161"/>
      <c r="S572" s="161"/>
      <c r="V572" s="162"/>
      <c r="W572" s="162"/>
      <c r="AF572" s="161"/>
    </row>
    <row r="573" spans="5:32">
      <c r="E573" s="157"/>
      <c r="F573" s="157"/>
      <c r="H573" s="158"/>
      <c r="I573" s="158"/>
      <c r="R573" s="161"/>
      <c r="S573" s="161"/>
      <c r="V573" s="162"/>
      <c r="W573" s="162"/>
      <c r="AF573" s="161"/>
    </row>
    <row r="574" spans="5:32">
      <c r="E574" s="157"/>
      <c r="F574" s="157"/>
      <c r="H574" s="158"/>
      <c r="I574" s="158"/>
      <c r="R574" s="161"/>
      <c r="S574" s="161"/>
      <c r="V574" s="162"/>
      <c r="W574" s="162"/>
      <c r="AF574" s="161"/>
    </row>
    <row r="575" spans="5:32">
      <c r="E575" s="157"/>
      <c r="F575" s="157"/>
      <c r="H575" s="158"/>
      <c r="I575" s="158"/>
      <c r="R575" s="161"/>
      <c r="S575" s="161"/>
      <c r="V575" s="162"/>
      <c r="W575" s="162"/>
      <c r="AF575" s="161"/>
    </row>
    <row r="576" spans="5:32">
      <c r="E576" s="157"/>
      <c r="F576" s="157"/>
      <c r="H576" s="158"/>
      <c r="I576" s="158"/>
      <c r="R576" s="161"/>
      <c r="S576" s="161"/>
      <c r="V576" s="162"/>
      <c r="W576" s="162"/>
      <c r="AF576" s="161"/>
    </row>
    <row r="577" spans="5:32">
      <c r="E577" s="157"/>
      <c r="F577" s="157"/>
      <c r="H577" s="158"/>
      <c r="I577" s="158"/>
      <c r="R577" s="161"/>
      <c r="S577" s="161"/>
      <c r="V577" s="162"/>
      <c r="W577" s="162"/>
      <c r="AF577" s="161"/>
    </row>
    <row r="578" spans="5:32">
      <c r="E578" s="157"/>
      <c r="F578" s="157"/>
      <c r="H578" s="158"/>
      <c r="I578" s="158"/>
      <c r="R578" s="161"/>
      <c r="S578" s="161"/>
      <c r="V578" s="162"/>
      <c r="W578" s="162"/>
      <c r="AF578" s="161"/>
    </row>
    <row r="579" spans="5:32">
      <c r="E579" s="157"/>
      <c r="F579" s="157"/>
      <c r="H579" s="158"/>
      <c r="I579" s="158"/>
      <c r="R579" s="161"/>
      <c r="S579" s="161"/>
      <c r="V579" s="162"/>
      <c r="W579" s="162"/>
      <c r="AF579" s="161"/>
    </row>
    <row r="580" spans="5:32">
      <c r="E580" s="157"/>
      <c r="F580" s="157"/>
      <c r="H580" s="158"/>
      <c r="I580" s="158"/>
      <c r="R580" s="161"/>
      <c r="S580" s="161"/>
      <c r="V580" s="162"/>
      <c r="W580" s="162"/>
      <c r="AF580" s="161"/>
    </row>
    <row r="581" spans="5:32">
      <c r="E581" s="157"/>
      <c r="F581" s="157"/>
      <c r="H581" s="158"/>
      <c r="I581" s="158"/>
      <c r="R581" s="161"/>
      <c r="S581" s="161"/>
      <c r="V581" s="162"/>
      <c r="W581" s="162"/>
      <c r="AF581" s="161"/>
    </row>
    <row r="582" spans="5:32">
      <c r="E582" s="157"/>
      <c r="F582" s="157"/>
      <c r="H582" s="158"/>
      <c r="I582" s="158"/>
      <c r="R582" s="161"/>
      <c r="S582" s="161"/>
      <c r="V582" s="162"/>
      <c r="W582" s="162"/>
      <c r="AF582" s="161"/>
    </row>
    <row r="583" spans="5:32">
      <c r="E583" s="157"/>
      <c r="F583" s="157"/>
      <c r="H583" s="158"/>
      <c r="I583" s="158"/>
      <c r="R583" s="161"/>
      <c r="S583" s="161"/>
      <c r="V583" s="162"/>
      <c r="W583" s="162"/>
      <c r="AF583" s="161"/>
    </row>
    <row r="584" spans="5:32">
      <c r="E584" s="157"/>
      <c r="F584" s="157"/>
      <c r="H584" s="158"/>
      <c r="I584" s="158"/>
      <c r="R584" s="161"/>
      <c r="S584" s="161"/>
      <c r="V584" s="162"/>
      <c r="W584" s="162"/>
      <c r="AF584" s="161"/>
    </row>
    <row r="585" spans="5:32">
      <c r="E585" s="157"/>
      <c r="F585" s="157"/>
      <c r="H585" s="158"/>
      <c r="I585" s="158"/>
      <c r="R585" s="161"/>
      <c r="S585" s="161"/>
      <c r="V585" s="162"/>
      <c r="W585" s="162"/>
      <c r="AF585" s="161"/>
    </row>
    <row r="586" spans="5:32">
      <c r="E586" s="157"/>
      <c r="F586" s="157"/>
      <c r="H586" s="158"/>
      <c r="I586" s="158"/>
      <c r="R586" s="161"/>
      <c r="S586" s="161"/>
      <c r="V586" s="162"/>
      <c r="W586" s="162"/>
      <c r="AF586" s="161"/>
    </row>
    <row r="587" spans="5:32">
      <c r="E587" s="157"/>
      <c r="F587" s="157"/>
      <c r="H587" s="158"/>
      <c r="I587" s="158"/>
      <c r="R587" s="161"/>
      <c r="S587" s="161"/>
      <c r="V587" s="162"/>
      <c r="W587" s="162"/>
      <c r="AF587" s="161"/>
    </row>
    <row r="588" spans="5:32">
      <c r="E588" s="157"/>
      <c r="F588" s="157"/>
      <c r="H588" s="158"/>
      <c r="I588" s="158"/>
      <c r="R588" s="161"/>
      <c r="S588" s="161"/>
      <c r="V588" s="162"/>
      <c r="W588" s="162"/>
      <c r="AF588" s="161"/>
    </row>
    <row r="589" spans="5:32">
      <c r="E589" s="157"/>
      <c r="F589" s="157"/>
      <c r="H589" s="158"/>
      <c r="I589" s="158"/>
      <c r="R589" s="161"/>
      <c r="S589" s="161"/>
      <c r="V589" s="162"/>
      <c r="W589" s="162"/>
      <c r="AF589" s="161"/>
    </row>
    <row r="590" spans="5:32">
      <c r="E590" s="157"/>
      <c r="F590" s="157"/>
      <c r="H590" s="158"/>
      <c r="I590" s="158"/>
      <c r="R590" s="161"/>
      <c r="S590" s="161"/>
      <c r="V590" s="162"/>
      <c r="W590" s="162"/>
      <c r="AF590" s="161"/>
    </row>
    <row r="591" spans="5:32">
      <c r="E591" s="157"/>
      <c r="F591" s="157"/>
      <c r="H591" s="158"/>
      <c r="I591" s="158"/>
      <c r="R591" s="161"/>
      <c r="S591" s="161"/>
      <c r="V591" s="162"/>
      <c r="W591" s="162"/>
      <c r="AF591" s="161"/>
    </row>
    <row r="592" spans="5:32">
      <c r="E592" s="157"/>
      <c r="F592" s="157"/>
      <c r="H592" s="158"/>
      <c r="I592" s="158"/>
      <c r="R592" s="161"/>
      <c r="S592" s="161"/>
      <c r="V592" s="162"/>
      <c r="W592" s="162"/>
      <c r="AF592" s="161"/>
    </row>
    <row r="593" spans="5:32">
      <c r="E593" s="157"/>
      <c r="F593" s="157"/>
      <c r="H593" s="158"/>
      <c r="I593" s="158"/>
      <c r="R593" s="161"/>
      <c r="S593" s="161"/>
      <c r="V593" s="162"/>
      <c r="W593" s="162"/>
      <c r="AF593" s="161"/>
    </row>
    <row r="594" spans="5:32">
      <c r="E594" s="157"/>
      <c r="F594" s="157"/>
      <c r="H594" s="158"/>
      <c r="I594" s="158"/>
      <c r="R594" s="161"/>
      <c r="S594" s="161"/>
      <c r="V594" s="162"/>
      <c r="W594" s="162"/>
      <c r="AF594" s="161"/>
    </row>
    <row r="595" spans="5:32">
      <c r="E595" s="157"/>
      <c r="F595" s="157"/>
      <c r="H595" s="158"/>
      <c r="I595" s="158"/>
      <c r="R595" s="161"/>
      <c r="S595" s="161"/>
      <c r="V595" s="162"/>
      <c r="W595" s="162"/>
      <c r="AF595" s="161"/>
    </row>
    <row r="596" spans="5:32">
      <c r="E596" s="157"/>
      <c r="F596" s="157"/>
      <c r="H596" s="158"/>
      <c r="I596" s="158"/>
      <c r="R596" s="161"/>
      <c r="S596" s="161"/>
      <c r="V596" s="162"/>
      <c r="W596" s="162"/>
      <c r="AF596" s="161"/>
    </row>
    <row r="597" spans="5:32">
      <c r="E597" s="157"/>
      <c r="F597" s="157"/>
      <c r="H597" s="158"/>
      <c r="I597" s="158"/>
      <c r="R597" s="161"/>
      <c r="S597" s="161"/>
      <c r="V597" s="162"/>
      <c r="W597" s="162"/>
      <c r="AF597" s="161"/>
    </row>
    <row r="598" spans="5:32">
      <c r="E598" s="157"/>
      <c r="F598" s="157"/>
      <c r="H598" s="158"/>
      <c r="I598" s="158"/>
      <c r="R598" s="161"/>
      <c r="S598" s="161"/>
      <c r="V598" s="162"/>
      <c r="W598" s="162"/>
      <c r="AF598" s="161"/>
    </row>
    <row r="599" spans="5:32">
      <c r="E599" s="157"/>
      <c r="F599" s="157"/>
      <c r="H599" s="158"/>
      <c r="I599" s="158"/>
      <c r="R599" s="161"/>
      <c r="S599" s="161"/>
      <c r="V599" s="162"/>
      <c r="W599" s="162"/>
      <c r="AF599" s="161"/>
    </row>
    <row r="600" spans="5:32">
      <c r="E600" s="157"/>
      <c r="F600" s="157"/>
      <c r="H600" s="158"/>
      <c r="I600" s="158"/>
      <c r="R600" s="161"/>
      <c r="S600" s="161"/>
      <c r="V600" s="162"/>
      <c r="W600" s="162"/>
      <c r="AF600" s="161"/>
    </row>
    <row r="601" spans="5:32">
      <c r="E601" s="157"/>
      <c r="F601" s="157"/>
      <c r="H601" s="158"/>
      <c r="I601" s="158"/>
      <c r="R601" s="161"/>
      <c r="S601" s="161"/>
      <c r="V601" s="162"/>
      <c r="W601" s="162"/>
      <c r="AF601" s="161"/>
    </row>
    <row r="602" spans="5:32">
      <c r="E602" s="157"/>
      <c r="F602" s="157"/>
      <c r="H602" s="158"/>
      <c r="I602" s="158"/>
      <c r="R602" s="161"/>
      <c r="S602" s="161"/>
      <c r="V602" s="162"/>
      <c r="W602" s="162"/>
      <c r="AF602" s="161"/>
    </row>
    <row r="603" spans="5:32">
      <c r="E603" s="157"/>
      <c r="F603" s="157"/>
      <c r="H603" s="158"/>
      <c r="I603" s="158"/>
      <c r="R603" s="161"/>
      <c r="S603" s="161"/>
      <c r="V603" s="162"/>
      <c r="W603" s="162"/>
      <c r="AF603" s="161"/>
    </row>
    <row r="604" spans="5:32">
      <c r="E604" s="157"/>
      <c r="F604" s="157"/>
      <c r="H604" s="158"/>
      <c r="I604" s="158"/>
      <c r="R604" s="161"/>
      <c r="S604" s="161"/>
      <c r="V604" s="162"/>
      <c r="W604" s="162"/>
      <c r="AF604" s="161"/>
    </row>
    <row r="605" spans="5:32">
      <c r="E605" s="157"/>
      <c r="F605" s="157"/>
      <c r="H605" s="158"/>
      <c r="I605" s="158"/>
      <c r="R605" s="161"/>
      <c r="S605" s="161"/>
      <c r="V605" s="162"/>
      <c r="W605" s="162"/>
      <c r="AF605" s="161"/>
    </row>
    <row r="606" spans="5:32">
      <c r="E606" s="157"/>
      <c r="F606" s="157"/>
      <c r="H606" s="158"/>
      <c r="I606" s="158"/>
      <c r="R606" s="161"/>
      <c r="S606" s="161"/>
      <c r="V606" s="162"/>
      <c r="W606" s="162"/>
      <c r="AF606" s="161"/>
    </row>
    <row r="607" spans="5:32">
      <c r="E607" s="157"/>
      <c r="F607" s="157"/>
      <c r="H607" s="158"/>
      <c r="I607" s="158"/>
      <c r="R607" s="161"/>
      <c r="S607" s="161"/>
      <c r="V607" s="162"/>
      <c r="W607" s="162"/>
      <c r="AF607" s="161"/>
    </row>
    <row r="608" spans="5:32">
      <c r="E608" s="157"/>
      <c r="F608" s="157"/>
      <c r="H608" s="158"/>
      <c r="I608" s="158"/>
      <c r="R608" s="161"/>
      <c r="S608" s="161"/>
      <c r="V608" s="162"/>
      <c r="W608" s="162"/>
      <c r="AF608" s="161"/>
    </row>
    <row r="609" spans="5:32">
      <c r="E609" s="157"/>
      <c r="F609" s="157"/>
      <c r="H609" s="158"/>
      <c r="I609" s="158"/>
      <c r="R609" s="161"/>
      <c r="S609" s="161"/>
      <c r="V609" s="162"/>
      <c r="W609" s="162"/>
      <c r="AF609" s="161"/>
    </row>
    <row r="610" spans="5:32">
      <c r="E610" s="157"/>
      <c r="F610" s="157"/>
      <c r="H610" s="158"/>
      <c r="I610" s="158"/>
      <c r="R610" s="161"/>
      <c r="S610" s="161"/>
      <c r="V610" s="162"/>
      <c r="W610" s="162"/>
      <c r="AF610" s="161"/>
    </row>
    <row r="611" spans="5:32">
      <c r="E611" s="157"/>
      <c r="F611" s="157"/>
      <c r="H611" s="158"/>
      <c r="I611" s="158"/>
      <c r="R611" s="161"/>
      <c r="S611" s="161"/>
      <c r="V611" s="162"/>
      <c r="W611" s="162"/>
      <c r="AF611" s="161"/>
    </row>
    <row r="612" spans="5:32">
      <c r="E612" s="157"/>
      <c r="F612" s="157"/>
      <c r="H612" s="158"/>
      <c r="I612" s="158"/>
      <c r="R612" s="161"/>
      <c r="S612" s="161"/>
      <c r="V612" s="162"/>
      <c r="W612" s="162"/>
      <c r="AF612" s="161"/>
    </row>
    <row r="613" spans="5:32">
      <c r="E613" s="157"/>
      <c r="F613" s="157"/>
      <c r="H613" s="158"/>
      <c r="I613" s="158"/>
      <c r="R613" s="161"/>
      <c r="S613" s="161"/>
      <c r="V613" s="162"/>
      <c r="W613" s="162"/>
      <c r="AF613" s="161"/>
    </row>
    <row r="614" spans="5:32">
      <c r="E614" s="157"/>
      <c r="F614" s="157"/>
      <c r="H614" s="158"/>
      <c r="I614" s="158"/>
      <c r="R614" s="161"/>
      <c r="S614" s="161"/>
      <c r="V614" s="162"/>
      <c r="W614" s="162"/>
      <c r="AF614" s="161"/>
    </row>
    <row r="615" spans="5:32">
      <c r="E615" s="157"/>
      <c r="F615" s="157"/>
      <c r="H615" s="158"/>
      <c r="I615" s="158"/>
      <c r="R615" s="161"/>
      <c r="S615" s="161"/>
      <c r="V615" s="162"/>
      <c r="W615" s="162"/>
      <c r="AF615" s="161"/>
    </row>
    <row r="616" spans="5:32">
      <c r="E616" s="157"/>
      <c r="F616" s="157"/>
      <c r="H616" s="158"/>
      <c r="I616" s="158"/>
      <c r="R616" s="161"/>
      <c r="S616" s="161"/>
      <c r="V616" s="162"/>
      <c r="W616" s="162"/>
      <c r="AF616" s="161"/>
    </row>
    <row r="617" spans="5:32">
      <c r="E617" s="157"/>
      <c r="F617" s="157"/>
      <c r="H617" s="158"/>
      <c r="I617" s="158"/>
      <c r="R617" s="161"/>
      <c r="S617" s="161"/>
      <c r="V617" s="162"/>
      <c r="W617" s="162"/>
      <c r="AF617" s="161"/>
    </row>
    <row r="618" spans="5:32">
      <c r="E618" s="157"/>
      <c r="F618" s="157"/>
      <c r="H618" s="158"/>
      <c r="I618" s="158"/>
      <c r="R618" s="161"/>
      <c r="S618" s="161"/>
      <c r="V618" s="162"/>
      <c r="W618" s="162"/>
      <c r="AF618" s="161"/>
    </row>
    <row r="619" spans="5:32">
      <c r="E619" s="157"/>
      <c r="F619" s="157"/>
      <c r="H619" s="158"/>
      <c r="I619" s="158"/>
      <c r="R619" s="161"/>
      <c r="S619" s="161"/>
      <c r="V619" s="162"/>
      <c r="W619" s="162"/>
      <c r="AF619" s="161"/>
    </row>
    <row r="620" spans="5:32">
      <c r="E620" s="157"/>
      <c r="F620" s="157"/>
      <c r="H620" s="158"/>
      <c r="I620" s="158"/>
      <c r="R620" s="161"/>
      <c r="S620" s="161"/>
      <c r="V620" s="162"/>
      <c r="W620" s="162"/>
      <c r="AF620" s="161"/>
    </row>
    <row r="621" spans="5:32">
      <c r="E621" s="157"/>
      <c r="F621" s="157"/>
      <c r="H621" s="158"/>
      <c r="I621" s="158"/>
      <c r="R621" s="161"/>
      <c r="S621" s="161"/>
      <c r="V621" s="162"/>
      <c r="W621" s="162"/>
      <c r="AF621" s="161"/>
    </row>
    <row r="622" spans="5:32">
      <c r="E622" s="157"/>
      <c r="F622" s="157"/>
      <c r="H622" s="158"/>
      <c r="I622" s="158"/>
      <c r="R622" s="161"/>
      <c r="S622" s="161"/>
      <c r="V622" s="162"/>
      <c r="W622" s="162"/>
      <c r="AF622" s="161"/>
    </row>
    <row r="623" spans="5:32">
      <c r="E623" s="157"/>
      <c r="F623" s="157"/>
      <c r="H623" s="158"/>
      <c r="I623" s="158"/>
      <c r="R623" s="161"/>
      <c r="S623" s="161"/>
      <c r="V623" s="162"/>
      <c r="W623" s="162"/>
      <c r="AF623" s="161"/>
    </row>
    <row r="624" spans="5:32">
      <c r="E624" s="157"/>
      <c r="F624" s="157"/>
      <c r="H624" s="158"/>
      <c r="I624" s="158"/>
      <c r="R624" s="161"/>
      <c r="S624" s="161"/>
      <c r="V624" s="162"/>
      <c r="W624" s="162"/>
      <c r="AF624" s="161"/>
    </row>
    <row r="625" spans="5:32">
      <c r="E625" s="157"/>
      <c r="F625" s="157"/>
      <c r="H625" s="158"/>
      <c r="I625" s="158"/>
      <c r="R625" s="161"/>
      <c r="S625" s="161"/>
      <c r="V625" s="162"/>
      <c r="W625" s="162"/>
      <c r="AF625" s="161"/>
    </row>
    <row r="626" spans="5:32">
      <c r="E626" s="157"/>
      <c r="F626" s="157"/>
      <c r="H626" s="158"/>
      <c r="I626" s="158"/>
      <c r="R626" s="161"/>
      <c r="S626" s="161"/>
      <c r="V626" s="162"/>
      <c r="W626" s="162"/>
      <c r="AF626" s="161"/>
    </row>
    <row r="627" spans="5:32">
      <c r="E627" s="157"/>
      <c r="F627" s="157"/>
      <c r="H627" s="158"/>
      <c r="I627" s="158"/>
      <c r="R627" s="161"/>
      <c r="S627" s="161"/>
      <c r="V627" s="162"/>
      <c r="W627" s="162"/>
      <c r="AF627" s="161"/>
    </row>
    <row r="628" spans="5:32">
      <c r="E628" s="157"/>
      <c r="F628" s="157"/>
      <c r="H628" s="158"/>
      <c r="I628" s="158"/>
      <c r="R628" s="161"/>
      <c r="S628" s="161"/>
      <c r="V628" s="162"/>
      <c r="W628" s="162"/>
      <c r="AF628" s="161"/>
    </row>
    <row r="629" spans="5:32">
      <c r="E629" s="157"/>
      <c r="F629" s="157"/>
      <c r="H629" s="158"/>
      <c r="I629" s="158"/>
      <c r="R629" s="161"/>
      <c r="S629" s="161"/>
      <c r="V629" s="162"/>
      <c r="W629" s="162"/>
      <c r="AF629" s="161"/>
    </row>
    <row r="630" spans="5:32">
      <c r="E630" s="157"/>
      <c r="F630" s="157"/>
      <c r="H630" s="158"/>
      <c r="I630" s="158"/>
      <c r="R630" s="161"/>
      <c r="S630" s="161"/>
      <c r="V630" s="162"/>
      <c r="W630" s="162"/>
      <c r="AF630" s="161"/>
    </row>
    <row r="631" spans="5:32">
      <c r="E631" s="157"/>
      <c r="F631" s="157"/>
      <c r="H631" s="158"/>
      <c r="I631" s="158"/>
      <c r="R631" s="161"/>
      <c r="S631" s="161"/>
      <c r="V631" s="162"/>
      <c r="W631" s="162"/>
      <c r="AF631" s="161"/>
    </row>
    <row r="632" spans="5:32">
      <c r="E632" s="157"/>
      <c r="F632" s="157"/>
      <c r="H632" s="158"/>
      <c r="I632" s="158"/>
      <c r="R632" s="161"/>
      <c r="S632" s="161"/>
      <c r="V632" s="162"/>
      <c r="W632" s="162"/>
      <c r="AF632" s="161"/>
    </row>
    <row r="633" spans="5:32">
      <c r="E633" s="157"/>
      <c r="F633" s="157"/>
      <c r="H633" s="158"/>
      <c r="I633" s="158"/>
      <c r="R633" s="161"/>
      <c r="S633" s="161"/>
      <c r="V633" s="162"/>
      <c r="W633" s="162"/>
      <c r="AF633" s="161"/>
    </row>
    <row r="634" spans="5:32">
      <c r="E634" s="157"/>
      <c r="F634" s="157"/>
      <c r="H634" s="158"/>
      <c r="I634" s="158"/>
      <c r="R634" s="161"/>
      <c r="S634" s="161"/>
      <c r="V634" s="162"/>
      <c r="W634" s="162"/>
      <c r="AF634" s="161"/>
    </row>
    <row r="635" spans="5:32">
      <c r="E635" s="157"/>
      <c r="F635" s="157"/>
      <c r="H635" s="158"/>
      <c r="I635" s="158"/>
      <c r="R635" s="161"/>
      <c r="S635" s="161"/>
      <c r="V635" s="162"/>
      <c r="W635" s="162"/>
      <c r="AF635" s="161"/>
    </row>
    <row r="636" spans="5:32">
      <c r="E636" s="157"/>
      <c r="F636" s="157"/>
      <c r="H636" s="158"/>
      <c r="I636" s="158"/>
      <c r="R636" s="161"/>
      <c r="S636" s="161"/>
      <c r="V636" s="162"/>
      <c r="W636" s="162"/>
    </row>
    <row r="637" spans="5:32">
      <c r="E637" s="157"/>
      <c r="F637" s="157"/>
      <c r="H637" s="158"/>
      <c r="I637" s="158"/>
      <c r="R637" s="161"/>
      <c r="S637" s="161"/>
      <c r="V637" s="162"/>
      <c r="W637" s="162"/>
      <c r="AF637" s="161"/>
    </row>
    <row r="638" spans="5:32">
      <c r="E638" s="157"/>
      <c r="F638" s="157"/>
      <c r="H638" s="158"/>
      <c r="I638" s="158"/>
      <c r="R638" s="161"/>
      <c r="S638" s="161"/>
      <c r="V638" s="162"/>
      <c r="W638" s="162"/>
      <c r="AF638" s="161"/>
    </row>
    <row r="639" spans="5:32">
      <c r="E639" s="157"/>
      <c r="F639" s="157"/>
      <c r="H639" s="158"/>
      <c r="I639" s="158"/>
      <c r="R639" s="161"/>
      <c r="S639" s="161"/>
      <c r="V639" s="162"/>
      <c r="W639" s="162"/>
      <c r="AF639" s="161"/>
    </row>
    <row r="640" spans="5:32">
      <c r="E640" s="157"/>
      <c r="F640" s="157"/>
      <c r="H640" s="158"/>
      <c r="I640" s="158"/>
      <c r="R640" s="161"/>
      <c r="S640" s="161"/>
      <c r="V640" s="162"/>
      <c r="W640" s="162"/>
      <c r="AF640" s="161"/>
    </row>
    <row r="641" spans="5:32">
      <c r="E641" s="157"/>
      <c r="F641" s="157"/>
      <c r="H641" s="158"/>
      <c r="I641" s="158"/>
      <c r="R641" s="161"/>
      <c r="S641" s="161"/>
      <c r="V641" s="162"/>
      <c r="W641" s="162"/>
      <c r="AF641" s="161"/>
    </row>
    <row r="642" spans="5:32">
      <c r="E642" s="157"/>
      <c r="F642" s="157"/>
      <c r="H642" s="158"/>
      <c r="I642" s="158"/>
      <c r="R642" s="161"/>
      <c r="S642" s="161"/>
      <c r="V642" s="162"/>
      <c r="W642" s="162"/>
      <c r="AF642" s="161"/>
    </row>
    <row r="643" spans="5:32">
      <c r="E643" s="157"/>
      <c r="F643" s="157"/>
      <c r="H643" s="158"/>
      <c r="I643" s="158"/>
      <c r="R643" s="161"/>
      <c r="S643" s="161"/>
      <c r="V643" s="162"/>
      <c r="W643" s="162"/>
      <c r="AF643" s="161"/>
    </row>
    <row r="644" spans="5:32">
      <c r="E644" s="157"/>
      <c r="F644" s="157"/>
      <c r="H644" s="158"/>
      <c r="I644" s="158"/>
      <c r="R644" s="161"/>
      <c r="S644" s="161"/>
      <c r="V644" s="162"/>
      <c r="W644" s="162"/>
      <c r="AF644" s="161"/>
    </row>
    <row r="645" spans="5:32">
      <c r="E645" s="157"/>
      <c r="F645" s="157"/>
      <c r="H645" s="158"/>
      <c r="I645" s="158"/>
      <c r="R645" s="161"/>
      <c r="S645" s="161"/>
      <c r="V645" s="162"/>
      <c r="W645" s="162"/>
      <c r="AF645" s="161"/>
    </row>
    <row r="646" spans="5:32">
      <c r="E646" s="157"/>
      <c r="F646" s="157"/>
      <c r="H646" s="158"/>
      <c r="I646" s="158"/>
      <c r="R646" s="161"/>
      <c r="S646" s="161"/>
      <c r="V646" s="162"/>
      <c r="W646" s="162"/>
      <c r="AF646" s="161"/>
    </row>
    <row r="647" spans="5:32">
      <c r="E647" s="157"/>
      <c r="F647" s="157"/>
      <c r="H647" s="158"/>
      <c r="I647" s="158"/>
      <c r="R647" s="161"/>
      <c r="S647" s="161"/>
      <c r="V647" s="162"/>
      <c r="W647" s="162"/>
      <c r="AF647" s="161"/>
    </row>
    <row r="648" spans="5:32">
      <c r="E648" s="157"/>
      <c r="F648" s="157"/>
      <c r="H648" s="158"/>
      <c r="I648" s="158"/>
      <c r="R648" s="161"/>
      <c r="S648" s="161"/>
      <c r="V648" s="162"/>
      <c r="W648" s="162"/>
      <c r="AF648" s="161"/>
    </row>
    <row r="649" spans="5:32">
      <c r="E649" s="157"/>
      <c r="F649" s="157"/>
      <c r="H649" s="158"/>
      <c r="I649" s="158"/>
      <c r="R649" s="161"/>
      <c r="S649" s="161"/>
      <c r="V649" s="162"/>
      <c r="W649" s="162"/>
      <c r="AF649" s="161"/>
    </row>
    <row r="650" spans="5:32">
      <c r="E650" s="157"/>
      <c r="F650" s="157"/>
      <c r="H650" s="158"/>
      <c r="I650" s="158"/>
      <c r="R650" s="161"/>
      <c r="S650" s="161"/>
      <c r="V650" s="162"/>
      <c r="W650" s="162"/>
      <c r="AF650" s="161"/>
    </row>
    <row r="651" spans="5:32">
      <c r="E651" s="157"/>
      <c r="F651" s="157"/>
      <c r="H651" s="158"/>
      <c r="I651" s="158"/>
      <c r="R651" s="161"/>
      <c r="S651" s="161"/>
      <c r="V651" s="162"/>
      <c r="W651" s="162"/>
      <c r="AF651" s="161"/>
    </row>
    <row r="652" spans="5:32">
      <c r="E652" s="157"/>
      <c r="F652" s="157"/>
      <c r="H652" s="158"/>
      <c r="I652" s="158"/>
      <c r="R652" s="161"/>
      <c r="S652" s="161"/>
      <c r="V652" s="162"/>
      <c r="W652" s="162"/>
      <c r="AF652" s="161"/>
    </row>
    <row r="653" spans="5:32">
      <c r="E653" s="157"/>
      <c r="F653" s="157"/>
      <c r="H653" s="158"/>
      <c r="I653" s="158"/>
      <c r="R653" s="161"/>
      <c r="S653" s="161"/>
      <c r="V653" s="162"/>
      <c r="W653" s="162"/>
      <c r="AF653" s="161"/>
    </row>
    <row r="654" spans="5:32">
      <c r="E654" s="157"/>
      <c r="F654" s="157"/>
      <c r="H654" s="158"/>
      <c r="I654" s="158"/>
      <c r="R654" s="161"/>
      <c r="S654" s="161"/>
      <c r="V654" s="162"/>
      <c r="W654" s="162"/>
      <c r="AF654" s="161"/>
    </row>
    <row r="655" spans="5:32">
      <c r="E655" s="157"/>
      <c r="F655" s="157"/>
      <c r="H655" s="158"/>
      <c r="I655" s="158"/>
      <c r="R655" s="161"/>
      <c r="S655" s="161"/>
      <c r="V655" s="162"/>
      <c r="W655" s="162"/>
      <c r="AF655" s="161"/>
    </row>
    <row r="656" spans="5:32">
      <c r="E656" s="157"/>
      <c r="F656" s="157"/>
      <c r="H656" s="158"/>
      <c r="I656" s="158"/>
      <c r="R656" s="161"/>
      <c r="S656" s="161"/>
      <c r="V656" s="162"/>
      <c r="W656" s="162"/>
      <c r="AF656" s="161"/>
    </row>
    <row r="657" spans="5:32">
      <c r="E657" s="157"/>
      <c r="F657" s="157"/>
      <c r="H657" s="158"/>
      <c r="I657" s="158"/>
      <c r="R657" s="161"/>
      <c r="S657" s="161"/>
      <c r="V657" s="162"/>
      <c r="W657" s="162"/>
      <c r="AF657" s="161"/>
    </row>
    <row r="658" spans="5:32">
      <c r="E658" s="157"/>
      <c r="F658" s="157"/>
      <c r="H658" s="158"/>
      <c r="I658" s="158"/>
      <c r="R658" s="161"/>
      <c r="S658" s="161"/>
      <c r="V658" s="162"/>
      <c r="W658" s="162"/>
      <c r="AF658" s="161"/>
    </row>
    <row r="659" spans="5:32">
      <c r="E659" s="157"/>
      <c r="F659" s="157"/>
      <c r="H659" s="158"/>
      <c r="I659" s="158"/>
      <c r="R659" s="161"/>
      <c r="S659" s="161"/>
      <c r="V659" s="162"/>
      <c r="W659" s="162"/>
      <c r="AF659" s="161"/>
    </row>
    <row r="660" spans="5:32">
      <c r="E660" s="157"/>
      <c r="F660" s="157"/>
      <c r="H660" s="158"/>
      <c r="I660" s="158"/>
      <c r="R660" s="161"/>
      <c r="S660" s="161"/>
      <c r="V660" s="162"/>
      <c r="W660" s="162"/>
      <c r="AF660" s="161"/>
    </row>
    <row r="661" spans="5:32">
      <c r="E661" s="157"/>
      <c r="F661" s="157"/>
      <c r="H661" s="158"/>
      <c r="I661" s="158"/>
      <c r="R661" s="161"/>
      <c r="S661" s="161"/>
      <c r="V661" s="162"/>
      <c r="W661" s="162"/>
      <c r="AF661" s="161"/>
    </row>
    <row r="662" spans="5:32">
      <c r="E662" s="157"/>
      <c r="F662" s="157"/>
      <c r="H662" s="158"/>
      <c r="I662" s="158"/>
      <c r="R662" s="161"/>
      <c r="S662" s="161"/>
      <c r="V662" s="162"/>
      <c r="W662" s="162"/>
      <c r="AF662" s="161"/>
    </row>
    <row r="663" spans="5:32">
      <c r="E663" s="157"/>
      <c r="F663" s="157"/>
      <c r="H663" s="158"/>
      <c r="I663" s="158"/>
      <c r="R663" s="161"/>
      <c r="S663" s="161"/>
      <c r="V663" s="162"/>
      <c r="W663" s="162"/>
      <c r="AF663" s="161"/>
    </row>
    <row r="664" spans="5:32">
      <c r="E664" s="157"/>
      <c r="F664" s="157"/>
      <c r="H664" s="158"/>
      <c r="I664" s="158"/>
      <c r="R664" s="161"/>
      <c r="S664" s="161"/>
      <c r="V664" s="162"/>
      <c r="W664" s="162"/>
      <c r="AF664" s="161"/>
    </row>
    <row r="665" spans="5:32">
      <c r="E665" s="157"/>
      <c r="F665" s="157"/>
      <c r="H665" s="158"/>
      <c r="I665" s="158"/>
      <c r="R665" s="161"/>
      <c r="S665" s="161"/>
      <c r="V665" s="162"/>
      <c r="W665" s="162"/>
      <c r="AF665" s="161"/>
    </row>
    <row r="666" spans="5:32">
      <c r="E666" s="157"/>
      <c r="F666" s="157"/>
      <c r="H666" s="158"/>
      <c r="I666" s="158"/>
      <c r="R666" s="161"/>
      <c r="S666" s="161"/>
      <c r="V666" s="162"/>
      <c r="W666" s="162"/>
      <c r="AF666" s="161"/>
    </row>
    <row r="667" spans="5:32">
      <c r="E667" s="157"/>
      <c r="F667" s="157"/>
      <c r="H667" s="158"/>
      <c r="I667" s="158"/>
      <c r="R667" s="161"/>
      <c r="S667" s="161"/>
      <c r="V667" s="162"/>
      <c r="W667" s="162"/>
      <c r="AF667" s="161"/>
    </row>
    <row r="668" spans="5:32">
      <c r="E668" s="157"/>
      <c r="F668" s="157"/>
      <c r="H668" s="158"/>
      <c r="I668" s="158"/>
      <c r="R668" s="161"/>
      <c r="S668" s="161"/>
      <c r="V668" s="162"/>
      <c r="W668" s="162"/>
      <c r="AF668" s="161"/>
    </row>
    <row r="669" spans="5:32">
      <c r="E669" s="157"/>
      <c r="F669" s="157"/>
      <c r="H669" s="158"/>
      <c r="I669" s="158"/>
      <c r="R669" s="161"/>
      <c r="S669" s="161"/>
      <c r="V669" s="162"/>
      <c r="W669" s="162"/>
      <c r="AF669" s="161"/>
    </row>
    <row r="670" spans="5:32">
      <c r="E670" s="157"/>
      <c r="F670" s="157"/>
      <c r="H670" s="158"/>
      <c r="I670" s="158"/>
      <c r="R670" s="161"/>
      <c r="S670" s="161"/>
      <c r="V670" s="162"/>
      <c r="W670" s="162"/>
      <c r="AF670" s="161"/>
    </row>
    <row r="671" spans="5:32">
      <c r="E671" s="157"/>
      <c r="F671" s="157"/>
      <c r="H671" s="158"/>
      <c r="I671" s="158"/>
      <c r="R671" s="161"/>
      <c r="S671" s="161"/>
      <c r="V671" s="162"/>
      <c r="W671" s="162"/>
      <c r="AF671" s="161"/>
    </row>
    <row r="672" spans="5:32">
      <c r="E672" s="157"/>
      <c r="F672" s="157"/>
      <c r="H672" s="158"/>
      <c r="I672" s="158"/>
      <c r="R672" s="161"/>
      <c r="S672" s="161"/>
      <c r="V672" s="162"/>
      <c r="W672" s="162"/>
      <c r="AF672" s="161"/>
    </row>
    <row r="673" spans="5:42">
      <c r="E673" s="157"/>
      <c r="F673" s="157"/>
      <c r="H673" s="158"/>
      <c r="I673" s="158"/>
      <c r="R673" s="161"/>
      <c r="S673" s="161"/>
      <c r="V673" s="162"/>
      <c r="W673" s="162"/>
      <c r="AF673" s="161"/>
    </row>
    <row r="674" spans="5:42">
      <c r="E674" s="157"/>
      <c r="F674" s="157"/>
      <c r="G674" s="161"/>
      <c r="H674" s="158"/>
      <c r="I674" s="158"/>
      <c r="J674" s="161"/>
      <c r="K674" s="161"/>
      <c r="N674" s="161"/>
      <c r="O674" s="161"/>
      <c r="P674" s="161"/>
      <c r="Q674" s="165"/>
      <c r="R674" s="161"/>
      <c r="S674" s="161"/>
      <c r="T674" s="161"/>
      <c r="U674" s="161"/>
      <c r="V674" s="161"/>
      <c r="W674" s="161"/>
      <c r="AF674" s="161"/>
      <c r="AG674" s="161"/>
      <c r="AH674" s="161"/>
      <c r="AI674" s="161"/>
      <c r="AJ674" s="161"/>
      <c r="AL674" s="161"/>
      <c r="AM674" s="161"/>
      <c r="AN674" s="161"/>
      <c r="AO674" s="161"/>
      <c r="AP674" s="161"/>
    </row>
    <row r="675" spans="5:42">
      <c r="E675" s="157"/>
      <c r="F675" s="157"/>
      <c r="H675" s="158"/>
      <c r="I675" s="158"/>
      <c r="R675" s="161"/>
      <c r="S675" s="161"/>
      <c r="V675" s="162"/>
      <c r="W675" s="162"/>
      <c r="AF675" s="161"/>
    </row>
    <row r="676" spans="5:42">
      <c r="E676" s="157"/>
      <c r="F676" s="157"/>
      <c r="H676" s="158"/>
      <c r="I676" s="158"/>
      <c r="R676" s="161"/>
      <c r="S676" s="161"/>
      <c r="V676" s="162"/>
      <c r="W676" s="162"/>
      <c r="AF676" s="161"/>
    </row>
    <row r="677" spans="5:42">
      <c r="E677" s="157"/>
      <c r="F677" s="157"/>
      <c r="H677" s="158"/>
      <c r="I677" s="158"/>
      <c r="R677" s="161"/>
      <c r="S677" s="161"/>
      <c r="V677" s="162"/>
      <c r="W677" s="162"/>
      <c r="AF677" s="161"/>
    </row>
    <row r="678" spans="5:42">
      <c r="E678" s="157"/>
      <c r="F678" s="157"/>
      <c r="H678" s="158"/>
      <c r="I678" s="158"/>
      <c r="R678" s="161"/>
      <c r="S678" s="161"/>
      <c r="V678" s="162"/>
      <c r="W678" s="162"/>
      <c r="AF678" s="161"/>
    </row>
    <row r="679" spans="5:42">
      <c r="E679" s="157"/>
      <c r="F679" s="157"/>
      <c r="H679" s="158"/>
      <c r="I679" s="158"/>
      <c r="R679" s="161"/>
      <c r="S679" s="161"/>
      <c r="V679" s="162"/>
      <c r="W679" s="162"/>
      <c r="AF679" s="161"/>
    </row>
    <row r="680" spans="5:42">
      <c r="E680" s="157"/>
      <c r="F680" s="157"/>
      <c r="H680" s="158"/>
      <c r="I680" s="158"/>
      <c r="R680" s="161"/>
      <c r="S680" s="161"/>
      <c r="V680" s="162"/>
      <c r="W680" s="162"/>
      <c r="AF680" s="161"/>
    </row>
    <row r="681" spans="5:42">
      <c r="E681" s="157"/>
      <c r="F681" s="157"/>
      <c r="H681" s="158"/>
      <c r="I681" s="158"/>
      <c r="R681" s="161"/>
      <c r="S681" s="161"/>
      <c r="V681" s="162"/>
      <c r="W681" s="162"/>
      <c r="AF681" s="161"/>
    </row>
    <row r="682" spans="5:42">
      <c r="E682" s="157"/>
      <c r="F682" s="157"/>
      <c r="H682" s="158"/>
      <c r="I682" s="158"/>
      <c r="R682" s="161"/>
      <c r="S682" s="161"/>
      <c r="V682" s="162"/>
      <c r="W682" s="162"/>
      <c r="AF682" s="161"/>
    </row>
    <row r="683" spans="5:42">
      <c r="E683" s="157"/>
      <c r="F683" s="157"/>
      <c r="H683" s="158"/>
      <c r="I683" s="158"/>
      <c r="R683" s="161"/>
      <c r="S683" s="161"/>
      <c r="V683" s="162"/>
      <c r="W683" s="162"/>
      <c r="AF683" s="161"/>
    </row>
    <row r="684" spans="5:42">
      <c r="E684" s="157"/>
      <c r="F684" s="157"/>
      <c r="H684" s="158"/>
      <c r="I684" s="158"/>
      <c r="R684" s="161"/>
      <c r="S684" s="161"/>
      <c r="V684" s="162"/>
      <c r="W684" s="162"/>
      <c r="AF684" s="161"/>
    </row>
    <row r="685" spans="5:42">
      <c r="E685" s="157"/>
      <c r="F685" s="157"/>
      <c r="H685" s="158"/>
      <c r="I685" s="158"/>
      <c r="R685" s="161"/>
      <c r="S685" s="161"/>
      <c r="V685" s="162"/>
      <c r="W685" s="162"/>
      <c r="AF685" s="161"/>
    </row>
    <row r="686" spans="5:42">
      <c r="E686" s="157"/>
      <c r="F686" s="157"/>
      <c r="H686" s="158"/>
      <c r="I686" s="158"/>
      <c r="R686" s="161"/>
      <c r="S686" s="161"/>
      <c r="V686" s="162"/>
      <c r="W686" s="162"/>
      <c r="AF686" s="161"/>
    </row>
    <row r="687" spans="5:42">
      <c r="E687" s="157"/>
      <c r="F687" s="157"/>
      <c r="H687" s="158"/>
      <c r="I687" s="158"/>
      <c r="R687" s="161"/>
      <c r="S687" s="161"/>
      <c r="V687" s="162"/>
      <c r="W687" s="162"/>
      <c r="AF687" s="161"/>
    </row>
    <row r="688" spans="5:42">
      <c r="E688" s="157"/>
      <c r="F688" s="157"/>
      <c r="H688" s="158"/>
      <c r="I688" s="158"/>
      <c r="R688" s="161"/>
      <c r="S688" s="161"/>
      <c r="V688" s="162"/>
      <c r="W688" s="162"/>
      <c r="AF688" s="161"/>
    </row>
    <row r="689" spans="5:32">
      <c r="E689" s="157"/>
      <c r="F689" s="157"/>
      <c r="H689" s="158"/>
      <c r="I689" s="158"/>
      <c r="R689" s="161"/>
      <c r="S689" s="161"/>
      <c r="V689" s="162"/>
      <c r="W689" s="162"/>
      <c r="AF689" s="161"/>
    </row>
    <row r="690" spans="5:32">
      <c r="E690" s="157"/>
      <c r="F690" s="157"/>
      <c r="H690" s="158"/>
      <c r="I690" s="158"/>
      <c r="R690" s="161"/>
      <c r="S690" s="161"/>
      <c r="V690" s="162"/>
      <c r="W690" s="162"/>
      <c r="AF690" s="161"/>
    </row>
    <row r="691" spans="5:32">
      <c r="E691" s="157"/>
      <c r="F691" s="157"/>
      <c r="H691" s="158"/>
      <c r="I691" s="158"/>
      <c r="R691" s="161"/>
      <c r="S691" s="161"/>
      <c r="V691" s="162"/>
      <c r="W691" s="162"/>
      <c r="AF691" s="161"/>
    </row>
    <row r="692" spans="5:32">
      <c r="E692" s="157"/>
      <c r="F692" s="157"/>
      <c r="H692" s="158"/>
      <c r="I692" s="158"/>
      <c r="R692" s="161"/>
      <c r="S692" s="161"/>
      <c r="V692" s="162"/>
      <c r="W692" s="162"/>
      <c r="AF692" s="161"/>
    </row>
    <row r="693" spans="5:32">
      <c r="E693" s="157"/>
      <c r="F693" s="157"/>
      <c r="H693" s="158"/>
      <c r="I693" s="158"/>
      <c r="R693" s="161"/>
      <c r="S693" s="161"/>
      <c r="V693" s="162"/>
      <c r="W693" s="162"/>
      <c r="AF693" s="161"/>
    </row>
    <row r="694" spans="5:32">
      <c r="E694" s="157"/>
      <c r="F694" s="157"/>
      <c r="H694" s="158"/>
      <c r="I694" s="158"/>
      <c r="R694" s="161"/>
      <c r="S694" s="161"/>
      <c r="V694" s="162"/>
      <c r="W694" s="162"/>
      <c r="AF694" s="161"/>
    </row>
    <row r="695" spans="5:32">
      <c r="E695" s="157"/>
      <c r="F695" s="157"/>
      <c r="H695" s="158"/>
      <c r="I695" s="158"/>
      <c r="R695" s="161"/>
      <c r="S695" s="161"/>
      <c r="V695" s="162"/>
      <c r="W695" s="162"/>
      <c r="AF695" s="161"/>
    </row>
    <row r="696" spans="5:32">
      <c r="E696" s="157"/>
      <c r="F696" s="157"/>
      <c r="H696" s="158"/>
      <c r="I696" s="158"/>
      <c r="R696" s="161"/>
      <c r="S696" s="161"/>
      <c r="V696" s="162"/>
      <c r="W696" s="162"/>
      <c r="AF696" s="161"/>
    </row>
    <row r="697" spans="5:32">
      <c r="E697" s="157"/>
      <c r="F697" s="157"/>
      <c r="H697" s="158"/>
      <c r="I697" s="158"/>
      <c r="R697" s="161"/>
      <c r="S697" s="161"/>
      <c r="V697" s="162"/>
      <c r="W697" s="162"/>
      <c r="AF697" s="161"/>
    </row>
    <row r="698" spans="5:32">
      <c r="E698" s="157"/>
      <c r="F698" s="157"/>
      <c r="H698" s="158"/>
      <c r="I698" s="158"/>
      <c r="R698" s="161"/>
      <c r="S698" s="161"/>
      <c r="V698" s="162"/>
      <c r="W698" s="162"/>
      <c r="AF698" s="161"/>
    </row>
    <row r="699" spans="5:32">
      <c r="E699" s="157"/>
      <c r="F699" s="157"/>
      <c r="H699" s="158"/>
      <c r="I699" s="158"/>
      <c r="R699" s="161"/>
      <c r="S699" s="161"/>
      <c r="V699" s="162"/>
      <c r="W699" s="162"/>
      <c r="AF699" s="161"/>
    </row>
    <row r="700" spans="5:32">
      <c r="E700" s="157"/>
      <c r="F700" s="157"/>
      <c r="H700" s="158"/>
      <c r="I700" s="158"/>
      <c r="R700" s="161"/>
      <c r="S700" s="161"/>
      <c r="V700" s="162"/>
      <c r="W700" s="162"/>
      <c r="AF700" s="161"/>
    </row>
    <row r="701" spans="5:32">
      <c r="E701" s="157"/>
      <c r="F701" s="157"/>
      <c r="H701" s="158"/>
      <c r="I701" s="158"/>
      <c r="R701" s="161"/>
      <c r="S701" s="161"/>
      <c r="V701" s="162"/>
      <c r="W701" s="162"/>
      <c r="AF701" s="161"/>
    </row>
    <row r="702" spans="5:32">
      <c r="E702" s="157"/>
      <c r="F702" s="157"/>
      <c r="H702" s="158"/>
      <c r="I702" s="158"/>
      <c r="R702" s="161"/>
      <c r="S702" s="161"/>
      <c r="V702" s="162"/>
      <c r="W702" s="162"/>
      <c r="AF702" s="161"/>
    </row>
    <row r="703" spans="5:32">
      <c r="E703" s="157"/>
      <c r="F703" s="157"/>
      <c r="H703" s="158"/>
      <c r="I703" s="158"/>
      <c r="R703" s="161"/>
      <c r="S703" s="161"/>
      <c r="V703" s="162"/>
      <c r="W703" s="162"/>
      <c r="AF703" s="161"/>
    </row>
    <row r="704" spans="5:32">
      <c r="E704" s="157"/>
      <c r="F704" s="157"/>
      <c r="H704" s="158"/>
      <c r="I704" s="158"/>
      <c r="R704" s="161"/>
      <c r="S704" s="161"/>
      <c r="V704" s="162"/>
      <c r="W704" s="162"/>
      <c r="AF704" s="161"/>
    </row>
    <row r="705" spans="5:32">
      <c r="E705" s="157"/>
      <c r="F705" s="157"/>
      <c r="H705" s="158"/>
      <c r="I705" s="158"/>
      <c r="R705" s="161"/>
      <c r="S705" s="161"/>
      <c r="V705" s="162"/>
      <c r="W705" s="162"/>
      <c r="AF705" s="161"/>
    </row>
    <row r="706" spans="5:32">
      <c r="E706" s="157"/>
      <c r="F706" s="157"/>
      <c r="H706" s="158"/>
      <c r="I706" s="158"/>
      <c r="R706" s="161"/>
      <c r="S706" s="161"/>
      <c r="V706" s="162"/>
      <c r="W706" s="162"/>
      <c r="AF706" s="161"/>
    </row>
    <row r="707" spans="5:32">
      <c r="E707" s="157"/>
      <c r="F707" s="157"/>
      <c r="H707" s="158"/>
      <c r="I707" s="158"/>
      <c r="R707" s="161"/>
      <c r="S707" s="161"/>
      <c r="V707" s="162"/>
      <c r="W707" s="162"/>
      <c r="AF707" s="161"/>
    </row>
    <row r="708" spans="5:32">
      <c r="E708" s="157"/>
      <c r="F708" s="157"/>
      <c r="H708" s="158"/>
      <c r="I708" s="158"/>
      <c r="R708" s="161"/>
      <c r="S708" s="161"/>
      <c r="V708" s="162"/>
      <c r="W708" s="162"/>
      <c r="AF708" s="161"/>
    </row>
    <row r="709" spans="5:32">
      <c r="E709" s="157"/>
      <c r="F709" s="157"/>
      <c r="H709" s="158"/>
      <c r="I709" s="158"/>
      <c r="R709" s="161"/>
      <c r="S709" s="161"/>
      <c r="V709" s="162"/>
      <c r="W709" s="162"/>
      <c r="AF709" s="161"/>
    </row>
    <row r="710" spans="5:32">
      <c r="E710" s="157"/>
      <c r="F710" s="157"/>
      <c r="H710" s="158"/>
      <c r="I710" s="158"/>
      <c r="R710" s="161"/>
      <c r="S710" s="161"/>
      <c r="V710" s="162"/>
      <c r="W710" s="162"/>
      <c r="AF710" s="161"/>
    </row>
    <row r="711" spans="5:32">
      <c r="E711" s="157"/>
      <c r="F711" s="157"/>
      <c r="H711" s="158"/>
      <c r="I711" s="158"/>
      <c r="R711" s="161"/>
      <c r="S711" s="161"/>
      <c r="V711" s="162"/>
      <c r="W711" s="162"/>
      <c r="AF711" s="161"/>
    </row>
    <row r="712" spans="5:32">
      <c r="E712" s="157"/>
      <c r="F712" s="157"/>
      <c r="H712" s="158"/>
      <c r="I712" s="158"/>
      <c r="R712" s="161"/>
      <c r="S712" s="161"/>
      <c r="V712" s="162"/>
      <c r="W712" s="162"/>
      <c r="AF712" s="161"/>
    </row>
    <row r="713" spans="5:32">
      <c r="E713" s="157"/>
      <c r="F713" s="157"/>
      <c r="H713" s="158"/>
      <c r="I713" s="158"/>
      <c r="R713" s="161"/>
      <c r="S713" s="161"/>
      <c r="V713" s="162"/>
      <c r="W713" s="162"/>
      <c r="AF713" s="161"/>
    </row>
    <row r="714" spans="5:32">
      <c r="E714" s="157"/>
      <c r="F714" s="157"/>
      <c r="H714" s="158"/>
      <c r="I714" s="158"/>
      <c r="R714" s="161"/>
      <c r="S714" s="161"/>
      <c r="V714" s="162"/>
      <c r="W714" s="162"/>
      <c r="AF714" s="161"/>
    </row>
    <row r="715" spans="5:32">
      <c r="E715" s="157"/>
      <c r="F715" s="157"/>
      <c r="H715" s="158"/>
      <c r="I715" s="158"/>
      <c r="R715" s="161"/>
      <c r="S715" s="161"/>
      <c r="V715" s="162"/>
      <c r="W715" s="162"/>
      <c r="AF715" s="161"/>
    </row>
    <row r="716" spans="5:32">
      <c r="E716" s="157"/>
      <c r="F716" s="157"/>
      <c r="H716" s="158"/>
      <c r="I716" s="158"/>
      <c r="R716" s="161"/>
      <c r="S716" s="161"/>
      <c r="V716" s="162"/>
      <c r="W716" s="162"/>
      <c r="AF716" s="161"/>
    </row>
    <row r="717" spans="5:32">
      <c r="E717" s="157"/>
      <c r="F717" s="157"/>
      <c r="H717" s="158"/>
      <c r="I717" s="158"/>
      <c r="R717" s="161"/>
      <c r="S717" s="161"/>
      <c r="V717" s="162"/>
      <c r="W717" s="162"/>
      <c r="AF717" s="161"/>
    </row>
    <row r="718" spans="5:32">
      <c r="E718" s="157"/>
      <c r="F718" s="157"/>
      <c r="H718" s="158"/>
      <c r="I718" s="158"/>
      <c r="R718" s="161"/>
      <c r="S718" s="161"/>
      <c r="V718" s="162"/>
      <c r="W718" s="162"/>
      <c r="AF718" s="161"/>
    </row>
    <row r="719" spans="5:32">
      <c r="E719" s="157"/>
      <c r="F719" s="157"/>
      <c r="H719" s="158"/>
      <c r="I719" s="158"/>
      <c r="R719" s="161"/>
      <c r="S719" s="161"/>
      <c r="V719" s="162"/>
      <c r="W719" s="162"/>
      <c r="AF719" s="161"/>
    </row>
    <row r="720" spans="5:32">
      <c r="E720" s="157"/>
      <c r="F720" s="157"/>
      <c r="H720" s="158"/>
      <c r="I720" s="158"/>
      <c r="R720" s="161"/>
      <c r="S720" s="161"/>
      <c r="V720" s="162"/>
      <c r="W720" s="162"/>
      <c r="AF720" s="161"/>
    </row>
    <row r="721" spans="5:32">
      <c r="E721" s="157"/>
      <c r="F721" s="157"/>
      <c r="H721" s="158"/>
      <c r="I721" s="158"/>
      <c r="R721" s="161"/>
      <c r="S721" s="161"/>
      <c r="V721" s="162"/>
      <c r="W721" s="162"/>
      <c r="AF721" s="161"/>
    </row>
    <row r="722" spans="5:32">
      <c r="E722" s="157"/>
      <c r="F722" s="157"/>
      <c r="H722" s="158"/>
      <c r="I722" s="158"/>
      <c r="R722" s="161"/>
      <c r="S722" s="161"/>
      <c r="V722" s="162"/>
      <c r="W722" s="162"/>
      <c r="AF722" s="161"/>
    </row>
    <row r="723" spans="5:32">
      <c r="E723" s="157"/>
      <c r="F723" s="157"/>
      <c r="H723" s="158"/>
      <c r="I723" s="158"/>
      <c r="R723" s="161"/>
      <c r="S723" s="161"/>
      <c r="V723" s="162"/>
      <c r="W723" s="162"/>
      <c r="AF723" s="161"/>
    </row>
    <row r="724" spans="5:32">
      <c r="E724" s="157"/>
      <c r="F724" s="157"/>
      <c r="H724" s="158"/>
      <c r="I724" s="158"/>
      <c r="R724" s="161"/>
      <c r="S724" s="161"/>
      <c r="V724" s="162"/>
      <c r="W724" s="162"/>
      <c r="AF724" s="161"/>
    </row>
    <row r="725" spans="5:32">
      <c r="E725" s="157"/>
      <c r="F725" s="157"/>
      <c r="H725" s="158"/>
      <c r="I725" s="158"/>
      <c r="R725" s="161"/>
      <c r="S725" s="161"/>
      <c r="V725" s="162"/>
      <c r="W725" s="162"/>
      <c r="AF725" s="161"/>
    </row>
    <row r="726" spans="5:32">
      <c r="E726" s="157"/>
      <c r="F726" s="157"/>
      <c r="H726" s="158"/>
      <c r="I726" s="158"/>
      <c r="R726" s="161"/>
      <c r="S726" s="161"/>
      <c r="V726" s="162"/>
      <c r="W726" s="162"/>
      <c r="AF726" s="161"/>
    </row>
    <row r="727" spans="5:32">
      <c r="E727" s="157"/>
      <c r="F727" s="157"/>
      <c r="H727" s="158"/>
      <c r="I727" s="158"/>
      <c r="R727" s="161"/>
      <c r="S727" s="161"/>
      <c r="V727" s="162"/>
      <c r="W727" s="162"/>
      <c r="AF727" s="161"/>
    </row>
    <row r="728" spans="5:32">
      <c r="E728" s="157"/>
      <c r="F728" s="157"/>
      <c r="H728" s="158"/>
      <c r="I728" s="158"/>
      <c r="R728" s="161"/>
      <c r="S728" s="161"/>
      <c r="V728" s="162"/>
      <c r="W728" s="162"/>
      <c r="AF728" s="161"/>
    </row>
    <row r="729" spans="5:32">
      <c r="E729" s="157"/>
      <c r="F729" s="157"/>
      <c r="H729" s="158"/>
      <c r="I729" s="158"/>
      <c r="R729" s="161"/>
      <c r="S729" s="161"/>
      <c r="V729" s="162"/>
      <c r="W729" s="162"/>
      <c r="AF729" s="161"/>
    </row>
    <row r="730" spans="5:32">
      <c r="E730" s="157"/>
      <c r="F730" s="157"/>
      <c r="H730" s="158"/>
      <c r="I730" s="158"/>
      <c r="R730" s="161"/>
      <c r="S730" s="161"/>
      <c r="V730" s="162"/>
      <c r="W730" s="162"/>
      <c r="AF730" s="161"/>
    </row>
    <row r="731" spans="5:32">
      <c r="E731" s="157"/>
      <c r="F731" s="157"/>
      <c r="H731" s="158"/>
      <c r="I731" s="158"/>
      <c r="R731" s="161"/>
      <c r="S731" s="161"/>
      <c r="V731" s="162"/>
      <c r="W731" s="162"/>
      <c r="AF731" s="161"/>
    </row>
    <row r="732" spans="5:32">
      <c r="E732" s="157"/>
      <c r="F732" s="157"/>
      <c r="H732" s="158"/>
      <c r="I732" s="158"/>
      <c r="R732" s="161"/>
      <c r="S732" s="161"/>
      <c r="V732" s="162"/>
      <c r="W732" s="162"/>
      <c r="AF732" s="161"/>
    </row>
    <row r="733" spans="5:32">
      <c r="E733" s="157"/>
      <c r="F733" s="157"/>
      <c r="H733" s="158"/>
      <c r="I733" s="158"/>
      <c r="R733" s="161"/>
      <c r="S733" s="161"/>
      <c r="V733" s="162"/>
      <c r="W733" s="162"/>
      <c r="AF733" s="161"/>
    </row>
    <row r="734" spans="5:32">
      <c r="E734" s="157"/>
      <c r="F734" s="157"/>
      <c r="H734" s="158"/>
      <c r="I734" s="158"/>
      <c r="R734" s="161"/>
      <c r="S734" s="161"/>
      <c r="V734" s="162"/>
      <c r="W734" s="162"/>
      <c r="AF734" s="161"/>
    </row>
    <row r="735" spans="5:32">
      <c r="E735" s="157"/>
      <c r="F735" s="157"/>
      <c r="H735" s="158"/>
      <c r="I735" s="158"/>
      <c r="R735" s="161"/>
      <c r="S735" s="161"/>
      <c r="V735" s="162"/>
      <c r="W735" s="162"/>
      <c r="AF735" s="161"/>
    </row>
    <row r="736" spans="5:32">
      <c r="E736" s="157"/>
      <c r="F736" s="157"/>
      <c r="H736" s="158"/>
      <c r="I736" s="158"/>
      <c r="R736" s="161"/>
      <c r="S736" s="161"/>
      <c r="V736" s="162"/>
      <c r="W736" s="162"/>
      <c r="AF736" s="161"/>
    </row>
    <row r="737" spans="5:32">
      <c r="E737" s="157"/>
      <c r="F737" s="157"/>
      <c r="H737" s="158"/>
      <c r="I737" s="158"/>
      <c r="R737" s="161"/>
      <c r="S737" s="161"/>
      <c r="V737" s="162"/>
      <c r="W737" s="162"/>
      <c r="AF737" s="161"/>
    </row>
    <row r="738" spans="5:32">
      <c r="E738" s="157"/>
      <c r="F738" s="157"/>
      <c r="H738" s="158"/>
      <c r="I738" s="158"/>
      <c r="R738" s="161"/>
      <c r="S738" s="161"/>
      <c r="V738" s="162"/>
      <c r="W738" s="162"/>
      <c r="AF738" s="161"/>
    </row>
    <row r="739" spans="5:32">
      <c r="E739" s="157"/>
      <c r="F739" s="157"/>
      <c r="H739" s="158"/>
      <c r="I739" s="158"/>
      <c r="R739" s="161"/>
      <c r="S739" s="161"/>
      <c r="V739" s="162"/>
      <c r="W739" s="162"/>
      <c r="AF739" s="161"/>
    </row>
    <row r="740" spans="5:32">
      <c r="E740" s="157"/>
      <c r="F740" s="157"/>
      <c r="H740" s="158"/>
      <c r="I740" s="158"/>
      <c r="R740" s="161"/>
      <c r="S740" s="161"/>
      <c r="V740" s="162"/>
      <c r="W740" s="162"/>
      <c r="AF740" s="161"/>
    </row>
    <row r="741" spans="5:32">
      <c r="E741" s="157"/>
      <c r="F741" s="157"/>
      <c r="H741" s="158"/>
      <c r="I741" s="158"/>
      <c r="R741" s="161"/>
      <c r="S741" s="161"/>
      <c r="V741" s="162"/>
      <c r="W741" s="162"/>
      <c r="AF741" s="161"/>
    </row>
    <row r="742" spans="5:32">
      <c r="E742" s="157"/>
      <c r="F742" s="157"/>
      <c r="H742" s="158"/>
      <c r="I742" s="158"/>
      <c r="R742" s="161"/>
      <c r="S742" s="161"/>
      <c r="V742" s="162"/>
      <c r="W742" s="162"/>
      <c r="AF742" s="161"/>
    </row>
    <row r="743" spans="5:32">
      <c r="E743" s="157"/>
      <c r="F743" s="157"/>
      <c r="H743" s="158"/>
      <c r="I743" s="158"/>
      <c r="R743" s="161"/>
      <c r="S743" s="161"/>
      <c r="V743" s="162"/>
      <c r="W743" s="162"/>
      <c r="AF743" s="161"/>
    </row>
    <row r="744" spans="5:32">
      <c r="E744" s="157"/>
      <c r="F744" s="157"/>
      <c r="H744" s="158"/>
      <c r="I744" s="158"/>
      <c r="R744" s="161"/>
      <c r="S744" s="161"/>
      <c r="V744" s="162"/>
      <c r="W744" s="162"/>
      <c r="AF744" s="161"/>
    </row>
    <row r="745" spans="5:32">
      <c r="E745" s="157"/>
      <c r="F745" s="157"/>
      <c r="H745" s="158"/>
      <c r="I745" s="158"/>
      <c r="R745" s="161"/>
      <c r="S745" s="161"/>
      <c r="V745" s="162"/>
      <c r="W745" s="162"/>
      <c r="AF745" s="161"/>
    </row>
    <row r="746" spans="5:32">
      <c r="E746" s="157"/>
      <c r="F746" s="157"/>
      <c r="I746" s="158"/>
      <c r="R746" s="161"/>
      <c r="S746" s="161"/>
      <c r="V746" s="162"/>
      <c r="W746" s="162"/>
      <c r="AF746" s="161"/>
    </row>
    <row r="747" spans="5:32">
      <c r="E747" s="157"/>
      <c r="F747" s="157"/>
      <c r="I747" s="158"/>
      <c r="R747" s="161"/>
      <c r="S747" s="161"/>
      <c r="V747" s="162"/>
      <c r="W747" s="162"/>
      <c r="AF747" s="161"/>
    </row>
    <row r="748" spans="5:32">
      <c r="E748" s="157"/>
      <c r="F748" s="157"/>
      <c r="H748" s="158"/>
      <c r="I748" s="158"/>
      <c r="R748" s="161"/>
      <c r="S748" s="161"/>
      <c r="V748" s="162"/>
      <c r="W748" s="162"/>
      <c r="AF748" s="161"/>
    </row>
    <row r="749" spans="5:32">
      <c r="E749" s="157"/>
      <c r="F749" s="157"/>
      <c r="I749" s="158"/>
      <c r="R749" s="161"/>
      <c r="S749" s="161"/>
      <c r="V749" s="162"/>
      <c r="W749" s="162"/>
      <c r="AF749" s="161"/>
    </row>
    <row r="750" spans="5:32">
      <c r="E750" s="157"/>
      <c r="F750" s="157"/>
      <c r="H750" s="158"/>
      <c r="I750" s="158"/>
      <c r="R750" s="161"/>
      <c r="S750" s="161"/>
      <c r="V750" s="162"/>
      <c r="W750" s="162"/>
      <c r="AF750" s="161"/>
    </row>
    <row r="751" spans="5:32">
      <c r="E751" s="157"/>
      <c r="F751" s="157"/>
      <c r="I751" s="158"/>
      <c r="R751" s="161"/>
      <c r="S751" s="161"/>
      <c r="V751" s="162"/>
      <c r="W751" s="162"/>
      <c r="AF751" s="161"/>
    </row>
    <row r="752" spans="5:32">
      <c r="E752" s="157"/>
      <c r="F752" s="157"/>
      <c r="I752" s="158"/>
      <c r="R752" s="161"/>
      <c r="S752" s="161"/>
      <c r="V752" s="162"/>
      <c r="W752" s="162"/>
      <c r="AF752" s="161"/>
    </row>
    <row r="753" spans="5:42">
      <c r="E753" s="157"/>
      <c r="F753" s="157"/>
      <c r="I753" s="158"/>
      <c r="R753" s="161"/>
      <c r="S753" s="161"/>
      <c r="V753" s="162"/>
      <c r="W753" s="162"/>
      <c r="AF753" s="161"/>
    </row>
    <row r="754" spans="5:42">
      <c r="E754" s="157"/>
      <c r="F754" s="157"/>
      <c r="I754" s="158"/>
      <c r="R754" s="161"/>
      <c r="S754" s="161"/>
      <c r="V754" s="162"/>
      <c r="W754" s="162"/>
      <c r="AF754" s="161"/>
    </row>
    <row r="755" spans="5:42">
      <c r="E755" s="157"/>
      <c r="F755" s="157"/>
      <c r="I755" s="158"/>
      <c r="R755" s="161"/>
      <c r="S755" s="161"/>
      <c r="V755" s="162"/>
      <c r="W755" s="162"/>
      <c r="AF755" s="161"/>
    </row>
    <row r="756" spans="5:42">
      <c r="E756" s="157"/>
      <c r="F756" s="157"/>
      <c r="I756" s="158"/>
      <c r="R756" s="161"/>
      <c r="S756" s="161"/>
      <c r="V756" s="162"/>
      <c r="W756" s="162"/>
      <c r="AF756" s="161"/>
    </row>
    <row r="757" spans="5:42">
      <c r="E757" s="157"/>
      <c r="F757" s="157"/>
      <c r="I757" s="158"/>
      <c r="R757" s="161"/>
      <c r="S757" s="161"/>
      <c r="V757" s="162"/>
      <c r="W757" s="162"/>
      <c r="AF757" s="161"/>
    </row>
    <row r="758" spans="5:42">
      <c r="E758" s="157"/>
      <c r="F758" s="157"/>
      <c r="G758" s="161"/>
      <c r="I758" s="158"/>
      <c r="J758" s="161"/>
      <c r="K758" s="161"/>
      <c r="N758" s="161"/>
      <c r="O758" s="161"/>
      <c r="P758" s="161"/>
      <c r="Q758" s="165"/>
      <c r="R758" s="161"/>
      <c r="S758" s="161"/>
      <c r="T758" s="161"/>
      <c r="U758" s="161"/>
      <c r="V758" s="161"/>
      <c r="W758" s="161"/>
      <c r="AF758" s="161"/>
      <c r="AG758" s="161"/>
      <c r="AH758" s="161"/>
      <c r="AI758" s="161"/>
      <c r="AJ758" s="161"/>
      <c r="AL758" s="161"/>
      <c r="AM758" s="161"/>
      <c r="AN758" s="161"/>
      <c r="AO758" s="161"/>
      <c r="AP758" s="161"/>
    </row>
    <row r="759" spans="5:42">
      <c r="E759" s="157"/>
      <c r="F759" s="157"/>
      <c r="H759" s="158"/>
      <c r="I759" s="158"/>
      <c r="R759" s="161"/>
      <c r="S759" s="161"/>
      <c r="V759" s="162"/>
      <c r="W759" s="162"/>
      <c r="AF759" s="161"/>
    </row>
    <row r="760" spans="5:42">
      <c r="E760" s="157"/>
      <c r="F760" s="157"/>
      <c r="H760" s="158"/>
      <c r="I760" s="158"/>
      <c r="R760" s="161"/>
      <c r="S760" s="161"/>
      <c r="V760" s="162"/>
      <c r="W760" s="162"/>
      <c r="AF760" s="161"/>
    </row>
    <row r="761" spans="5:42">
      <c r="E761" s="157"/>
      <c r="F761" s="157"/>
      <c r="H761" s="158"/>
      <c r="I761" s="158"/>
      <c r="R761" s="161"/>
      <c r="S761" s="161"/>
      <c r="V761" s="162"/>
      <c r="W761" s="162"/>
      <c r="AF761" s="161"/>
    </row>
    <row r="762" spans="5:42">
      <c r="E762" s="157"/>
      <c r="F762" s="157"/>
      <c r="H762" s="158"/>
      <c r="I762" s="158"/>
      <c r="R762" s="161"/>
      <c r="S762" s="161"/>
      <c r="V762" s="162"/>
      <c r="W762" s="162"/>
      <c r="AF762" s="161"/>
    </row>
    <row r="763" spans="5:42">
      <c r="E763" s="157"/>
      <c r="F763" s="157"/>
      <c r="H763" s="158"/>
      <c r="I763" s="158"/>
      <c r="R763" s="161"/>
      <c r="S763" s="161"/>
      <c r="V763" s="162"/>
      <c r="W763" s="162"/>
      <c r="AF763" s="161"/>
    </row>
    <row r="764" spans="5:42">
      <c r="E764" s="157"/>
      <c r="F764" s="157"/>
      <c r="H764" s="158"/>
      <c r="I764" s="158"/>
      <c r="R764" s="161"/>
      <c r="S764" s="161"/>
      <c r="V764" s="162"/>
      <c r="W764" s="162"/>
      <c r="AF764" s="161"/>
    </row>
    <row r="765" spans="5:42">
      <c r="E765" s="157"/>
      <c r="F765" s="157"/>
      <c r="H765" s="158"/>
      <c r="I765" s="158"/>
      <c r="R765" s="161"/>
      <c r="S765" s="161"/>
      <c r="V765" s="162"/>
      <c r="W765" s="162"/>
      <c r="AF765" s="161"/>
    </row>
    <row r="766" spans="5:42">
      <c r="E766" s="157"/>
      <c r="F766" s="157"/>
      <c r="H766" s="158"/>
      <c r="I766" s="158"/>
      <c r="R766" s="161"/>
      <c r="S766" s="161"/>
      <c r="V766" s="162"/>
      <c r="W766" s="162"/>
      <c r="AF766" s="161"/>
    </row>
    <row r="767" spans="5:42">
      <c r="E767" s="157"/>
      <c r="F767" s="157"/>
      <c r="H767" s="158"/>
      <c r="I767" s="158"/>
      <c r="R767" s="161"/>
      <c r="S767" s="161"/>
      <c r="V767" s="162"/>
      <c r="W767" s="162"/>
      <c r="AF767" s="161"/>
    </row>
    <row r="768" spans="5:42">
      <c r="E768" s="157"/>
      <c r="F768" s="157"/>
      <c r="H768" s="158"/>
      <c r="I768" s="158"/>
      <c r="R768" s="161"/>
      <c r="S768" s="161"/>
      <c r="V768" s="162"/>
      <c r="W768" s="162"/>
      <c r="AF768" s="161"/>
    </row>
    <row r="769" spans="5:32">
      <c r="E769" s="157"/>
      <c r="F769" s="157"/>
      <c r="H769" s="158"/>
      <c r="I769" s="158"/>
      <c r="R769" s="161"/>
      <c r="S769" s="161"/>
      <c r="V769" s="162"/>
      <c r="W769" s="162"/>
      <c r="AF769" s="161"/>
    </row>
    <row r="770" spans="5:32">
      <c r="E770" s="157"/>
      <c r="F770" s="157"/>
      <c r="H770" s="158"/>
      <c r="I770" s="158"/>
      <c r="R770" s="161"/>
      <c r="S770" s="161"/>
      <c r="V770" s="162"/>
      <c r="W770" s="162"/>
      <c r="AF770" s="161"/>
    </row>
    <row r="771" spans="5:32">
      <c r="E771" s="157"/>
      <c r="F771" s="157"/>
      <c r="H771" s="158"/>
      <c r="I771" s="158"/>
      <c r="R771" s="161"/>
      <c r="S771" s="161"/>
      <c r="V771" s="162"/>
      <c r="W771" s="162"/>
      <c r="AF771" s="161"/>
    </row>
    <row r="772" spans="5:32">
      <c r="E772" s="157"/>
      <c r="F772" s="157"/>
      <c r="H772" s="158"/>
      <c r="I772" s="158"/>
      <c r="R772" s="161"/>
      <c r="S772" s="161"/>
      <c r="V772" s="162"/>
      <c r="W772" s="162"/>
      <c r="AF772" s="161"/>
    </row>
    <row r="773" spans="5:32">
      <c r="E773" s="157"/>
      <c r="F773" s="157"/>
      <c r="H773" s="158"/>
      <c r="I773" s="158"/>
      <c r="R773" s="161"/>
      <c r="S773" s="161"/>
      <c r="V773" s="162"/>
      <c r="W773" s="162"/>
      <c r="AF773" s="161"/>
    </row>
    <row r="774" spans="5:32">
      <c r="E774" s="157"/>
      <c r="F774" s="157"/>
      <c r="H774" s="158"/>
      <c r="I774" s="158"/>
      <c r="R774" s="161"/>
      <c r="S774" s="161"/>
      <c r="V774" s="162"/>
      <c r="W774" s="162"/>
      <c r="AF774" s="161"/>
    </row>
    <row r="775" spans="5:32">
      <c r="E775" s="157"/>
      <c r="F775" s="157"/>
      <c r="H775" s="158"/>
      <c r="I775" s="158"/>
      <c r="R775" s="161"/>
      <c r="S775" s="161"/>
      <c r="V775" s="162"/>
      <c r="W775" s="162"/>
      <c r="AF775" s="161"/>
    </row>
    <row r="776" spans="5:32">
      <c r="E776" s="157"/>
      <c r="F776" s="157"/>
      <c r="H776" s="158"/>
      <c r="I776" s="158"/>
      <c r="R776" s="161"/>
      <c r="S776" s="161"/>
      <c r="V776" s="162"/>
      <c r="W776" s="162"/>
      <c r="AF776" s="161"/>
    </row>
    <row r="777" spans="5:32">
      <c r="E777" s="157"/>
      <c r="F777" s="157"/>
      <c r="H777" s="158"/>
      <c r="I777" s="158"/>
      <c r="R777" s="161"/>
      <c r="S777" s="161"/>
      <c r="V777" s="162"/>
      <c r="W777" s="162"/>
      <c r="AF777" s="161"/>
    </row>
    <row r="778" spans="5:32">
      <c r="E778" s="157"/>
      <c r="F778" s="157"/>
      <c r="H778" s="158"/>
      <c r="I778" s="158"/>
      <c r="R778" s="161"/>
      <c r="S778" s="161"/>
      <c r="V778" s="162"/>
      <c r="W778" s="162"/>
      <c r="AF778" s="161"/>
    </row>
    <row r="779" spans="5:32">
      <c r="E779" s="157"/>
      <c r="F779" s="157"/>
      <c r="H779" s="158"/>
      <c r="I779" s="158"/>
      <c r="R779" s="161"/>
      <c r="S779" s="161"/>
      <c r="V779" s="162"/>
      <c r="W779" s="162"/>
      <c r="AF779" s="161"/>
    </row>
    <row r="780" spans="5:32">
      <c r="E780" s="157"/>
      <c r="F780" s="157"/>
      <c r="H780" s="158"/>
      <c r="I780" s="158"/>
      <c r="R780" s="161"/>
      <c r="S780" s="161"/>
      <c r="V780" s="162"/>
      <c r="W780" s="162"/>
      <c r="AF780" s="161"/>
    </row>
    <row r="781" spans="5:32">
      <c r="E781" s="157"/>
      <c r="F781" s="157"/>
      <c r="H781" s="158"/>
      <c r="I781" s="158"/>
      <c r="R781" s="161"/>
      <c r="S781" s="161"/>
      <c r="V781" s="162"/>
      <c r="W781" s="162"/>
      <c r="AF781" s="161"/>
    </row>
    <row r="782" spans="5:32">
      <c r="E782" s="157"/>
      <c r="F782" s="157"/>
      <c r="H782" s="158"/>
      <c r="I782" s="158"/>
      <c r="R782" s="161"/>
      <c r="S782" s="161"/>
      <c r="V782" s="162"/>
      <c r="W782" s="162"/>
      <c r="AF782" s="161"/>
    </row>
    <row r="783" spans="5:32">
      <c r="E783" s="157"/>
      <c r="F783" s="157"/>
      <c r="H783" s="158"/>
      <c r="I783" s="158"/>
      <c r="R783" s="161"/>
      <c r="S783" s="161"/>
      <c r="V783" s="162"/>
      <c r="W783" s="162"/>
      <c r="AF783" s="161"/>
    </row>
    <row r="784" spans="5:32">
      <c r="E784" s="157"/>
      <c r="F784" s="157"/>
      <c r="H784" s="158"/>
      <c r="I784" s="158"/>
      <c r="R784" s="161"/>
      <c r="S784" s="161"/>
      <c r="V784" s="162"/>
      <c r="W784" s="162"/>
      <c r="AF784" s="161"/>
    </row>
    <row r="785" spans="5:32">
      <c r="E785" s="157"/>
      <c r="F785" s="157"/>
      <c r="H785" s="158"/>
      <c r="I785" s="158"/>
      <c r="R785" s="161"/>
      <c r="S785" s="161"/>
      <c r="V785" s="162"/>
      <c r="W785" s="162"/>
      <c r="AF785" s="161"/>
    </row>
    <row r="786" spans="5:32">
      <c r="E786" s="157"/>
      <c r="F786" s="157"/>
      <c r="H786" s="158"/>
      <c r="I786" s="158"/>
      <c r="R786" s="161"/>
      <c r="S786" s="161"/>
      <c r="V786" s="162"/>
      <c r="W786" s="162"/>
      <c r="AF786" s="161"/>
    </row>
    <row r="787" spans="5:32">
      <c r="E787" s="157"/>
      <c r="F787" s="157"/>
      <c r="H787" s="158"/>
      <c r="I787" s="158"/>
      <c r="R787" s="161"/>
      <c r="S787" s="161"/>
      <c r="V787" s="162"/>
      <c r="W787" s="162"/>
      <c r="AF787" s="161"/>
    </row>
    <row r="788" spans="5:32">
      <c r="E788" s="157"/>
      <c r="F788" s="157"/>
      <c r="H788" s="158"/>
      <c r="I788" s="158"/>
      <c r="R788" s="161"/>
      <c r="S788" s="161"/>
      <c r="V788" s="162"/>
      <c r="W788" s="162"/>
      <c r="AF788" s="161"/>
    </row>
    <row r="789" spans="5:32">
      <c r="E789" s="157"/>
      <c r="F789" s="157"/>
      <c r="H789" s="158"/>
      <c r="I789" s="158"/>
      <c r="R789" s="161"/>
      <c r="S789" s="161"/>
      <c r="V789" s="162"/>
      <c r="W789" s="162"/>
      <c r="AF789" s="161"/>
    </row>
    <row r="790" spans="5:32">
      <c r="E790" s="157"/>
      <c r="F790" s="157"/>
      <c r="H790" s="158"/>
      <c r="I790" s="158"/>
      <c r="R790" s="161"/>
      <c r="S790" s="161"/>
      <c r="V790" s="162"/>
      <c r="W790" s="162"/>
      <c r="AF790" s="161"/>
    </row>
    <row r="791" spans="5:32">
      <c r="E791" s="157"/>
      <c r="F791" s="157"/>
      <c r="H791" s="158"/>
      <c r="I791" s="158"/>
      <c r="R791" s="161"/>
      <c r="S791" s="161"/>
      <c r="V791" s="162"/>
      <c r="W791" s="162"/>
      <c r="AF791" s="161"/>
    </row>
    <row r="792" spans="5:32">
      <c r="E792" s="157"/>
      <c r="F792" s="157"/>
      <c r="H792" s="158"/>
      <c r="I792" s="158"/>
      <c r="R792" s="161"/>
      <c r="S792" s="161"/>
      <c r="V792" s="162"/>
      <c r="W792" s="162"/>
      <c r="AF792" s="161"/>
    </row>
    <row r="793" spans="5:32">
      <c r="E793" s="157"/>
      <c r="F793" s="157"/>
      <c r="H793" s="158"/>
      <c r="I793" s="158"/>
      <c r="R793" s="161"/>
      <c r="S793" s="161"/>
      <c r="V793" s="162"/>
      <c r="W793" s="162"/>
      <c r="AF793" s="161"/>
    </row>
    <row r="794" spans="5:32">
      <c r="E794" s="157"/>
      <c r="F794" s="157"/>
      <c r="H794" s="158"/>
      <c r="I794" s="158"/>
      <c r="R794" s="161"/>
      <c r="S794" s="161"/>
      <c r="V794" s="162"/>
      <c r="W794" s="162"/>
      <c r="AF794" s="161"/>
    </row>
    <row r="795" spans="5:32">
      <c r="E795" s="157"/>
      <c r="F795" s="157"/>
      <c r="H795" s="158"/>
      <c r="I795" s="158"/>
      <c r="R795" s="161"/>
      <c r="S795" s="161"/>
      <c r="V795" s="162"/>
      <c r="W795" s="162"/>
      <c r="AF795" s="161"/>
    </row>
    <row r="796" spans="5:32">
      <c r="E796" s="157"/>
      <c r="F796" s="157"/>
      <c r="H796" s="158"/>
      <c r="I796" s="158"/>
      <c r="R796" s="161"/>
      <c r="S796" s="161"/>
      <c r="V796" s="162"/>
      <c r="W796" s="162"/>
      <c r="AF796" s="161"/>
    </row>
    <row r="797" spans="5:32">
      <c r="E797" s="157"/>
      <c r="F797" s="157"/>
      <c r="H797" s="158"/>
      <c r="I797" s="158"/>
      <c r="R797" s="161"/>
      <c r="S797" s="161"/>
      <c r="V797" s="162"/>
      <c r="W797" s="162"/>
      <c r="AF797" s="161"/>
    </row>
    <row r="798" spans="5:32">
      <c r="E798" s="157"/>
      <c r="F798" s="157"/>
      <c r="H798" s="158"/>
      <c r="I798" s="158"/>
      <c r="R798" s="161"/>
      <c r="S798" s="161"/>
      <c r="V798" s="162"/>
      <c r="W798" s="162"/>
      <c r="AF798" s="161"/>
    </row>
    <row r="799" spans="5:32">
      <c r="E799" s="157"/>
      <c r="F799" s="157"/>
      <c r="H799" s="158"/>
      <c r="I799" s="158"/>
      <c r="R799" s="161"/>
      <c r="S799" s="161"/>
      <c r="V799" s="162"/>
      <c r="W799" s="162"/>
      <c r="AF799" s="161"/>
    </row>
    <row r="800" spans="5:32">
      <c r="E800" s="157"/>
      <c r="F800" s="157"/>
      <c r="H800" s="158"/>
      <c r="I800" s="158"/>
      <c r="R800" s="161"/>
      <c r="S800" s="161"/>
      <c r="V800" s="162"/>
      <c r="W800" s="162"/>
      <c r="AF800" s="161"/>
    </row>
    <row r="801" spans="5:42">
      <c r="E801" s="157"/>
      <c r="F801" s="157"/>
      <c r="H801" s="158"/>
      <c r="I801" s="158"/>
      <c r="R801" s="161"/>
      <c r="S801" s="161"/>
      <c r="V801" s="162"/>
      <c r="W801" s="162"/>
      <c r="AF801" s="161"/>
    </row>
    <row r="802" spans="5:42">
      <c r="E802" s="157"/>
      <c r="F802" s="157"/>
      <c r="H802" s="158"/>
      <c r="I802" s="158"/>
      <c r="R802" s="161"/>
      <c r="S802" s="161"/>
      <c r="V802" s="162"/>
      <c r="W802" s="162"/>
      <c r="AF802" s="161"/>
    </row>
    <row r="803" spans="5:42">
      <c r="E803" s="157"/>
      <c r="F803" s="157"/>
      <c r="H803" s="158"/>
      <c r="I803" s="158"/>
      <c r="R803" s="161"/>
      <c r="S803" s="161"/>
      <c r="V803" s="162"/>
      <c r="W803" s="162"/>
      <c r="AF803" s="161"/>
    </row>
    <row r="804" spans="5:42">
      <c r="E804" s="157"/>
      <c r="F804" s="157"/>
      <c r="H804" s="158"/>
      <c r="I804" s="158"/>
      <c r="R804" s="161"/>
      <c r="S804" s="161"/>
      <c r="V804" s="162"/>
      <c r="W804" s="162"/>
      <c r="AF804" s="161"/>
    </row>
    <row r="805" spans="5:42">
      <c r="E805" s="157"/>
      <c r="F805" s="157"/>
      <c r="H805" s="158"/>
      <c r="I805" s="158"/>
      <c r="R805" s="161"/>
      <c r="S805" s="161"/>
      <c r="V805" s="162"/>
      <c r="W805" s="162"/>
      <c r="AF805" s="161"/>
    </row>
    <row r="806" spans="5:42">
      <c r="E806" s="157"/>
      <c r="F806" s="157"/>
      <c r="H806" s="158"/>
      <c r="I806" s="158"/>
      <c r="R806" s="161"/>
      <c r="S806" s="161"/>
      <c r="V806" s="162"/>
      <c r="W806" s="162"/>
      <c r="AF806" s="161"/>
    </row>
    <row r="807" spans="5:42">
      <c r="E807" s="157"/>
      <c r="F807" s="157"/>
      <c r="H807" s="158"/>
      <c r="I807" s="158"/>
      <c r="R807" s="161"/>
      <c r="S807" s="161"/>
      <c r="V807" s="162"/>
      <c r="W807" s="162"/>
      <c r="AF807" s="161"/>
    </row>
    <row r="808" spans="5:42">
      <c r="E808" s="157"/>
      <c r="F808" s="157"/>
      <c r="H808" s="158"/>
      <c r="I808" s="158"/>
      <c r="R808" s="161"/>
      <c r="S808" s="161"/>
      <c r="V808" s="162"/>
      <c r="W808" s="162"/>
      <c r="AF808" s="161"/>
    </row>
    <row r="809" spans="5:42">
      <c r="E809" s="157"/>
      <c r="F809" s="157"/>
      <c r="I809" s="158"/>
      <c r="R809" s="161"/>
      <c r="S809" s="161"/>
      <c r="V809" s="162"/>
      <c r="W809" s="162"/>
      <c r="AF809" s="161"/>
    </row>
    <row r="810" spans="5:42">
      <c r="E810" s="157"/>
      <c r="F810" s="157"/>
      <c r="H810" s="158"/>
      <c r="R810" s="161"/>
      <c r="S810" s="161"/>
      <c r="V810" s="162"/>
      <c r="W810" s="162"/>
      <c r="AF810" s="161"/>
    </row>
    <row r="811" spans="5:42">
      <c r="E811" s="157"/>
      <c r="F811" s="157"/>
      <c r="H811" s="158"/>
      <c r="R811" s="161"/>
      <c r="S811" s="161"/>
      <c r="V811" s="162"/>
      <c r="W811" s="162"/>
      <c r="AF811" s="161"/>
    </row>
    <row r="812" spans="5:42">
      <c r="E812" s="157"/>
      <c r="F812" s="157"/>
      <c r="H812" s="158"/>
      <c r="R812" s="161"/>
      <c r="S812" s="161"/>
      <c r="V812" s="162"/>
      <c r="W812" s="162"/>
      <c r="AF812" s="161"/>
    </row>
    <row r="813" spans="5:42">
      <c r="E813" s="157"/>
      <c r="F813" s="157"/>
      <c r="H813" s="158"/>
      <c r="R813" s="161"/>
      <c r="S813" s="161"/>
      <c r="V813" s="162"/>
      <c r="W813" s="162"/>
      <c r="AF813" s="161"/>
    </row>
    <row r="814" spans="5:42">
      <c r="E814" s="157"/>
      <c r="F814" s="157"/>
      <c r="H814" s="158"/>
      <c r="R814" s="161"/>
      <c r="S814" s="161"/>
      <c r="V814" s="162"/>
      <c r="W814" s="162"/>
      <c r="AF814" s="161"/>
    </row>
    <row r="815" spans="5:42">
      <c r="E815" s="157"/>
      <c r="F815" s="157"/>
      <c r="G815" s="161"/>
      <c r="H815" s="158"/>
      <c r="J815" s="161"/>
      <c r="K815" s="161"/>
      <c r="N815" s="161"/>
      <c r="O815" s="161"/>
      <c r="P815" s="161"/>
      <c r="Q815" s="165"/>
      <c r="R815" s="161"/>
      <c r="S815" s="161"/>
      <c r="T815" s="161"/>
      <c r="U815" s="161"/>
      <c r="V815" s="161"/>
      <c r="W815" s="161"/>
      <c r="AF815" s="161"/>
      <c r="AG815" s="161"/>
      <c r="AH815" s="161"/>
      <c r="AI815" s="161"/>
      <c r="AJ815" s="161"/>
      <c r="AL815" s="161"/>
      <c r="AM815" s="161"/>
      <c r="AN815" s="161"/>
      <c r="AO815" s="161"/>
      <c r="AP815" s="161"/>
    </row>
    <row r="816" spans="5:42">
      <c r="E816" s="157"/>
      <c r="F816" s="157"/>
      <c r="H816" s="158"/>
      <c r="I816" s="158"/>
      <c r="R816" s="161"/>
      <c r="S816" s="161"/>
      <c r="V816" s="162"/>
      <c r="W816" s="162"/>
      <c r="AF816" s="161"/>
    </row>
    <row r="817" spans="5:32">
      <c r="E817" s="157"/>
      <c r="F817" s="157"/>
      <c r="H817" s="158"/>
      <c r="I817" s="158"/>
      <c r="R817" s="161"/>
      <c r="S817" s="161"/>
      <c r="V817" s="162"/>
      <c r="W817" s="162"/>
      <c r="AF817" s="161"/>
    </row>
    <row r="818" spans="5:32">
      <c r="E818" s="157"/>
      <c r="F818" s="157"/>
      <c r="H818" s="158"/>
      <c r="I818" s="158"/>
      <c r="R818" s="161"/>
      <c r="S818" s="161"/>
      <c r="V818" s="162"/>
      <c r="W818" s="162"/>
      <c r="AF818" s="161"/>
    </row>
    <row r="819" spans="5:32">
      <c r="E819" s="157"/>
      <c r="F819" s="157"/>
      <c r="H819" s="158"/>
      <c r="I819" s="158"/>
      <c r="R819" s="161"/>
      <c r="S819" s="161"/>
      <c r="V819" s="162"/>
      <c r="W819" s="162"/>
      <c r="AF819" s="161"/>
    </row>
    <row r="820" spans="5:32">
      <c r="E820" s="157"/>
      <c r="F820" s="157"/>
      <c r="H820" s="158"/>
      <c r="I820" s="158"/>
      <c r="R820" s="161"/>
      <c r="S820" s="161"/>
      <c r="V820" s="162"/>
      <c r="W820" s="162"/>
      <c r="AF820" s="161"/>
    </row>
    <row r="821" spans="5:32">
      <c r="E821" s="157"/>
      <c r="F821" s="157"/>
      <c r="H821" s="158"/>
      <c r="I821" s="158"/>
      <c r="R821" s="161"/>
      <c r="S821" s="161"/>
      <c r="V821" s="162"/>
      <c r="W821" s="162"/>
      <c r="AF821" s="161"/>
    </row>
    <row r="822" spans="5:32">
      <c r="E822" s="157"/>
      <c r="F822" s="157"/>
      <c r="H822" s="158"/>
      <c r="I822" s="158"/>
      <c r="R822" s="161"/>
      <c r="S822" s="161"/>
      <c r="V822" s="162"/>
      <c r="W822" s="162"/>
      <c r="AF822" s="161"/>
    </row>
    <row r="823" spans="5:32">
      <c r="E823" s="157"/>
      <c r="F823" s="157"/>
      <c r="H823" s="158"/>
      <c r="I823" s="158"/>
      <c r="R823" s="161"/>
      <c r="S823" s="161"/>
      <c r="V823" s="162"/>
      <c r="W823" s="162"/>
      <c r="AF823" s="161"/>
    </row>
    <row r="824" spans="5:32">
      <c r="E824" s="157"/>
      <c r="F824" s="157"/>
      <c r="H824" s="158"/>
      <c r="I824" s="158"/>
      <c r="R824" s="161"/>
      <c r="S824" s="161"/>
      <c r="V824" s="162"/>
      <c r="W824" s="162"/>
      <c r="AF824" s="161"/>
    </row>
    <row r="825" spans="5:32">
      <c r="E825" s="157"/>
      <c r="F825" s="157"/>
      <c r="H825" s="158"/>
      <c r="I825" s="158"/>
      <c r="R825" s="161"/>
      <c r="S825" s="161"/>
      <c r="V825" s="162"/>
      <c r="W825" s="162"/>
      <c r="AF825" s="161"/>
    </row>
    <row r="826" spans="5:32">
      <c r="E826" s="157"/>
      <c r="F826" s="157"/>
      <c r="H826" s="158"/>
      <c r="I826" s="158"/>
      <c r="R826" s="161"/>
      <c r="S826" s="161"/>
      <c r="V826" s="162"/>
      <c r="W826" s="162"/>
      <c r="AF826" s="161"/>
    </row>
    <row r="827" spans="5:32">
      <c r="E827" s="157"/>
      <c r="F827" s="157"/>
      <c r="H827" s="158"/>
      <c r="I827" s="158"/>
      <c r="R827" s="161"/>
      <c r="S827" s="161"/>
      <c r="V827" s="162"/>
      <c r="W827" s="162"/>
      <c r="AF827" s="161"/>
    </row>
    <row r="828" spans="5:32">
      <c r="E828" s="157"/>
      <c r="F828" s="157"/>
      <c r="H828" s="158"/>
      <c r="I828" s="158"/>
      <c r="R828" s="161"/>
      <c r="S828" s="161"/>
      <c r="V828" s="162"/>
      <c r="W828" s="162"/>
      <c r="AF828" s="161"/>
    </row>
    <row r="829" spans="5:32">
      <c r="E829" s="157"/>
      <c r="F829" s="157"/>
      <c r="H829" s="158"/>
      <c r="I829" s="158"/>
      <c r="R829" s="161"/>
      <c r="S829" s="161"/>
      <c r="V829" s="162"/>
      <c r="W829" s="162"/>
      <c r="AF829" s="161"/>
    </row>
    <row r="830" spans="5:32">
      <c r="E830" s="157"/>
      <c r="F830" s="157"/>
      <c r="H830" s="158"/>
      <c r="I830" s="158"/>
      <c r="R830" s="161"/>
      <c r="S830" s="161"/>
      <c r="V830" s="162"/>
      <c r="W830" s="162"/>
      <c r="AF830" s="161"/>
    </row>
    <row r="831" spans="5:32">
      <c r="E831" s="157"/>
      <c r="F831" s="157"/>
      <c r="H831" s="158"/>
      <c r="I831" s="158"/>
      <c r="R831" s="161"/>
      <c r="S831" s="161"/>
      <c r="V831" s="162"/>
      <c r="W831" s="162"/>
      <c r="AF831" s="161"/>
    </row>
    <row r="832" spans="5:32">
      <c r="E832" s="157"/>
      <c r="F832" s="157"/>
      <c r="H832" s="158"/>
      <c r="I832" s="158"/>
      <c r="R832" s="161"/>
      <c r="S832" s="161"/>
      <c r="V832" s="162"/>
      <c r="W832" s="162"/>
      <c r="AF832" s="161"/>
    </row>
    <row r="833" spans="5:32">
      <c r="E833" s="157"/>
      <c r="F833" s="157"/>
      <c r="H833" s="158"/>
      <c r="I833" s="158"/>
      <c r="R833" s="161"/>
      <c r="S833" s="161"/>
      <c r="V833" s="162"/>
      <c r="W833" s="162"/>
      <c r="AF833" s="161"/>
    </row>
    <row r="834" spans="5:32">
      <c r="E834" s="157"/>
      <c r="F834" s="157"/>
      <c r="H834" s="158"/>
      <c r="I834" s="158"/>
      <c r="R834" s="161"/>
      <c r="S834" s="161"/>
      <c r="V834" s="162"/>
      <c r="W834" s="162"/>
      <c r="AF834" s="161"/>
    </row>
    <row r="835" spans="5:32">
      <c r="E835" s="157"/>
      <c r="F835" s="157"/>
      <c r="H835" s="158"/>
      <c r="I835" s="158"/>
      <c r="R835" s="161"/>
      <c r="S835" s="161"/>
      <c r="V835" s="162"/>
      <c r="W835" s="162"/>
      <c r="AF835" s="161"/>
    </row>
    <row r="836" spans="5:32">
      <c r="E836" s="157"/>
      <c r="F836" s="157"/>
      <c r="H836" s="158"/>
      <c r="I836" s="158"/>
      <c r="R836" s="161"/>
      <c r="S836" s="161"/>
      <c r="V836" s="162"/>
      <c r="W836" s="162"/>
      <c r="AF836" s="161"/>
    </row>
    <row r="837" spans="5:32">
      <c r="E837" s="157"/>
      <c r="F837" s="157"/>
      <c r="H837" s="158"/>
      <c r="I837" s="158"/>
      <c r="R837" s="161"/>
      <c r="S837" s="161"/>
      <c r="V837" s="162"/>
      <c r="W837" s="162"/>
      <c r="AF837" s="161"/>
    </row>
    <row r="838" spans="5:32">
      <c r="E838" s="157"/>
      <c r="F838" s="157"/>
      <c r="H838" s="158"/>
      <c r="I838" s="158"/>
      <c r="R838" s="161"/>
      <c r="S838" s="161"/>
      <c r="V838" s="162"/>
      <c r="W838" s="162"/>
      <c r="AF838" s="161"/>
    </row>
    <row r="839" spans="5:32">
      <c r="E839" s="157"/>
      <c r="F839" s="157"/>
      <c r="H839" s="158"/>
      <c r="I839" s="158"/>
      <c r="R839" s="161"/>
      <c r="S839" s="161"/>
      <c r="V839" s="162"/>
      <c r="W839" s="162"/>
      <c r="AF839" s="161"/>
    </row>
    <row r="840" spans="5:32">
      <c r="E840" s="157"/>
      <c r="F840" s="157"/>
      <c r="H840" s="158"/>
      <c r="I840" s="158"/>
      <c r="R840" s="161"/>
      <c r="S840" s="161"/>
      <c r="V840" s="162"/>
      <c r="W840" s="162"/>
      <c r="AF840" s="161"/>
    </row>
    <row r="841" spans="5:32">
      <c r="E841" s="157"/>
      <c r="F841" s="157"/>
      <c r="H841" s="158"/>
      <c r="I841" s="158"/>
      <c r="R841" s="161"/>
      <c r="S841" s="161"/>
      <c r="V841" s="162"/>
      <c r="W841" s="162"/>
      <c r="AF841" s="161"/>
    </row>
    <row r="842" spans="5:32">
      <c r="E842" s="157"/>
      <c r="F842" s="157"/>
      <c r="H842" s="158"/>
      <c r="I842" s="158"/>
      <c r="R842" s="161"/>
      <c r="S842" s="161"/>
      <c r="V842" s="162"/>
      <c r="W842" s="162"/>
      <c r="AF842" s="161"/>
    </row>
    <row r="843" spans="5:32">
      <c r="E843" s="157"/>
      <c r="F843" s="157"/>
      <c r="H843" s="158"/>
      <c r="I843" s="158"/>
      <c r="R843" s="161"/>
      <c r="S843" s="161"/>
      <c r="V843" s="162"/>
      <c r="W843" s="162"/>
      <c r="AF843" s="161"/>
    </row>
    <row r="844" spans="5:32">
      <c r="E844" s="157"/>
      <c r="F844" s="157"/>
      <c r="H844" s="158"/>
      <c r="I844" s="158"/>
      <c r="R844" s="161"/>
      <c r="S844" s="161"/>
      <c r="V844" s="162"/>
      <c r="W844" s="162"/>
      <c r="AF844" s="161"/>
    </row>
    <row r="845" spans="5:32">
      <c r="E845" s="157"/>
      <c r="F845" s="157"/>
      <c r="H845" s="158"/>
      <c r="I845" s="158"/>
      <c r="R845" s="161"/>
      <c r="S845" s="161"/>
      <c r="V845" s="162"/>
      <c r="W845" s="162"/>
      <c r="AF845" s="161"/>
    </row>
    <row r="846" spans="5:32">
      <c r="E846" s="157"/>
      <c r="F846" s="157"/>
      <c r="H846" s="158"/>
      <c r="I846" s="158"/>
      <c r="R846" s="161"/>
      <c r="S846" s="161"/>
      <c r="V846" s="162"/>
      <c r="W846" s="162"/>
      <c r="AF846" s="161"/>
    </row>
    <row r="847" spans="5:32">
      <c r="E847" s="157"/>
      <c r="F847" s="157"/>
      <c r="H847" s="158"/>
      <c r="I847" s="158"/>
      <c r="R847" s="161"/>
      <c r="S847" s="161"/>
      <c r="V847" s="162"/>
      <c r="W847" s="162"/>
      <c r="AF847" s="161"/>
    </row>
    <row r="848" spans="5:32">
      <c r="E848" s="157"/>
      <c r="F848" s="157"/>
      <c r="H848" s="158"/>
      <c r="I848" s="158"/>
      <c r="R848" s="161"/>
      <c r="S848" s="161"/>
      <c r="V848" s="162"/>
      <c r="W848" s="162"/>
      <c r="AF848" s="161"/>
    </row>
    <row r="849" spans="5:32">
      <c r="E849" s="157"/>
      <c r="F849" s="157"/>
      <c r="H849" s="158"/>
      <c r="I849" s="158"/>
      <c r="R849" s="161"/>
      <c r="S849" s="161"/>
      <c r="V849" s="162"/>
      <c r="W849" s="162"/>
      <c r="AF849" s="161"/>
    </row>
    <row r="850" spans="5:32">
      <c r="E850" s="157"/>
      <c r="F850" s="157"/>
      <c r="H850" s="158"/>
      <c r="I850" s="158"/>
      <c r="R850" s="161"/>
      <c r="S850" s="161"/>
      <c r="V850" s="162"/>
      <c r="W850" s="162"/>
      <c r="AF850" s="161"/>
    </row>
    <row r="851" spans="5:32">
      <c r="E851" s="157"/>
      <c r="F851" s="157"/>
      <c r="H851" s="158"/>
      <c r="I851" s="158"/>
      <c r="R851" s="161"/>
      <c r="S851" s="161"/>
      <c r="V851" s="162"/>
      <c r="W851" s="162"/>
      <c r="AF851" s="161"/>
    </row>
    <row r="852" spans="5:32">
      <c r="E852" s="157"/>
      <c r="F852" s="157"/>
      <c r="H852" s="158"/>
      <c r="I852" s="158"/>
      <c r="R852" s="161"/>
      <c r="S852" s="161"/>
      <c r="V852" s="162"/>
      <c r="W852" s="162"/>
      <c r="AF852" s="161"/>
    </row>
    <row r="853" spans="5:32">
      <c r="E853" s="157"/>
      <c r="F853" s="157"/>
      <c r="H853" s="158"/>
      <c r="I853" s="158"/>
      <c r="R853" s="161"/>
      <c r="S853" s="161"/>
      <c r="V853" s="162"/>
      <c r="W853" s="162"/>
      <c r="AF853" s="161"/>
    </row>
    <row r="854" spans="5:32">
      <c r="E854" s="157"/>
      <c r="F854" s="157"/>
      <c r="H854" s="158"/>
      <c r="I854" s="158"/>
      <c r="R854" s="161"/>
      <c r="S854" s="161"/>
      <c r="V854" s="162"/>
      <c r="W854" s="162"/>
      <c r="AF854" s="161"/>
    </row>
    <row r="855" spans="5:32">
      <c r="E855" s="157"/>
      <c r="F855" s="157"/>
      <c r="H855" s="158"/>
      <c r="I855" s="158"/>
      <c r="R855" s="161"/>
      <c r="S855" s="161"/>
      <c r="V855" s="162"/>
      <c r="W855" s="162"/>
      <c r="AF855" s="161"/>
    </row>
    <row r="856" spans="5:32">
      <c r="E856" s="157"/>
      <c r="F856" s="157"/>
      <c r="H856" s="158"/>
      <c r="I856" s="158"/>
      <c r="R856" s="161"/>
      <c r="S856" s="161"/>
      <c r="V856" s="162"/>
      <c r="W856" s="162"/>
      <c r="AF856" s="161"/>
    </row>
    <row r="857" spans="5:32">
      <c r="E857" s="157"/>
      <c r="F857" s="157"/>
      <c r="H857" s="158"/>
      <c r="I857" s="158"/>
      <c r="R857" s="161"/>
      <c r="S857" s="161"/>
      <c r="V857" s="162"/>
      <c r="W857" s="162"/>
      <c r="AF857" s="161"/>
    </row>
    <row r="858" spans="5:32">
      <c r="E858" s="157"/>
      <c r="F858" s="157"/>
      <c r="H858" s="158"/>
      <c r="I858" s="158"/>
      <c r="R858" s="161"/>
      <c r="S858" s="161"/>
      <c r="V858" s="162"/>
      <c r="W858" s="162"/>
      <c r="AF858" s="161"/>
    </row>
    <row r="859" spans="5:32">
      <c r="E859" s="157"/>
      <c r="F859" s="157"/>
      <c r="H859" s="158"/>
      <c r="I859" s="158"/>
      <c r="R859" s="161"/>
      <c r="S859" s="161"/>
      <c r="V859" s="162"/>
      <c r="W859" s="162"/>
      <c r="AF859" s="161"/>
    </row>
    <row r="860" spans="5:32">
      <c r="E860" s="157"/>
      <c r="F860" s="157"/>
      <c r="H860" s="158"/>
      <c r="I860" s="158"/>
      <c r="R860" s="161"/>
      <c r="S860" s="161"/>
      <c r="V860" s="162"/>
      <c r="W860" s="162"/>
      <c r="AF860" s="161"/>
    </row>
    <row r="861" spans="5:32">
      <c r="E861" s="157"/>
      <c r="F861" s="157"/>
      <c r="H861" s="158"/>
      <c r="I861" s="158"/>
      <c r="R861" s="161"/>
      <c r="S861" s="161"/>
      <c r="V861" s="162"/>
      <c r="W861" s="162"/>
      <c r="AF861" s="161"/>
    </row>
    <row r="862" spans="5:32">
      <c r="E862" s="157"/>
      <c r="F862" s="157"/>
      <c r="H862" s="158"/>
      <c r="I862" s="158"/>
      <c r="R862" s="161"/>
      <c r="S862" s="161"/>
      <c r="V862" s="162"/>
      <c r="W862" s="162"/>
      <c r="AF862" s="161"/>
    </row>
    <row r="863" spans="5:32">
      <c r="E863" s="157"/>
      <c r="F863" s="157"/>
      <c r="H863" s="158"/>
      <c r="I863" s="158"/>
      <c r="R863" s="161"/>
      <c r="S863" s="161"/>
      <c r="V863" s="162"/>
      <c r="W863" s="162"/>
      <c r="AF863" s="161"/>
    </row>
    <row r="864" spans="5:32">
      <c r="E864" s="157"/>
      <c r="F864" s="157"/>
      <c r="H864" s="158"/>
      <c r="I864" s="158"/>
      <c r="R864" s="161"/>
      <c r="S864" s="161"/>
      <c r="V864" s="162"/>
      <c r="W864" s="162"/>
      <c r="AF864" s="161"/>
    </row>
    <row r="865" spans="5:32">
      <c r="E865" s="157"/>
      <c r="F865" s="157"/>
      <c r="H865" s="158"/>
      <c r="I865" s="158"/>
      <c r="R865" s="161"/>
      <c r="S865" s="161"/>
      <c r="V865" s="162"/>
      <c r="W865" s="162"/>
      <c r="AF865" s="161"/>
    </row>
    <row r="866" spans="5:32">
      <c r="E866" s="157"/>
      <c r="F866" s="157"/>
      <c r="H866" s="158"/>
      <c r="I866" s="158"/>
      <c r="R866" s="161"/>
      <c r="S866" s="161"/>
      <c r="V866" s="162"/>
      <c r="W866" s="162"/>
      <c r="AF866" s="161"/>
    </row>
    <row r="867" spans="5:32">
      <c r="E867" s="157"/>
      <c r="F867" s="157"/>
      <c r="H867" s="158"/>
      <c r="I867" s="158"/>
      <c r="R867" s="161"/>
      <c r="S867" s="161"/>
      <c r="V867" s="162"/>
      <c r="W867" s="162"/>
      <c r="AF867" s="161"/>
    </row>
    <row r="868" spans="5:32">
      <c r="E868" s="157"/>
      <c r="F868" s="157"/>
      <c r="H868" s="158"/>
      <c r="I868" s="158"/>
      <c r="R868" s="161"/>
      <c r="S868" s="161"/>
      <c r="V868" s="162"/>
      <c r="W868" s="162"/>
      <c r="AF868" s="161"/>
    </row>
    <row r="869" spans="5:32">
      <c r="E869" s="157"/>
      <c r="F869" s="157"/>
      <c r="H869" s="158"/>
      <c r="I869" s="158"/>
      <c r="R869" s="161"/>
      <c r="S869" s="161"/>
      <c r="V869" s="162"/>
      <c r="W869" s="162"/>
      <c r="AF869" s="161"/>
    </row>
    <row r="870" spans="5:32">
      <c r="E870" s="157"/>
      <c r="F870" s="157"/>
      <c r="H870" s="158"/>
      <c r="I870" s="158"/>
      <c r="R870" s="161"/>
      <c r="S870" s="161"/>
      <c r="V870" s="162"/>
      <c r="W870" s="162"/>
      <c r="AF870" s="161"/>
    </row>
    <row r="871" spans="5:32">
      <c r="E871" s="157"/>
      <c r="F871" s="157"/>
      <c r="H871" s="158"/>
      <c r="I871" s="158"/>
      <c r="R871" s="161"/>
      <c r="S871" s="161"/>
      <c r="V871" s="162"/>
      <c r="W871" s="162"/>
      <c r="AF871" s="161"/>
    </row>
    <row r="872" spans="5:32">
      <c r="E872" s="157"/>
      <c r="F872" s="157"/>
      <c r="H872" s="158"/>
      <c r="I872" s="158"/>
      <c r="R872" s="161"/>
      <c r="S872" s="161"/>
      <c r="V872" s="162"/>
      <c r="W872" s="162"/>
      <c r="AF872" s="161"/>
    </row>
    <row r="873" spans="5:32">
      <c r="E873" s="157"/>
      <c r="F873" s="157"/>
      <c r="H873" s="158"/>
      <c r="I873" s="158"/>
      <c r="R873" s="161"/>
      <c r="S873" s="161"/>
      <c r="V873" s="162"/>
      <c r="W873" s="162"/>
      <c r="AF873" s="161"/>
    </row>
    <row r="874" spans="5:32">
      <c r="E874" s="157"/>
      <c r="F874" s="157"/>
      <c r="H874" s="158"/>
      <c r="I874" s="158"/>
      <c r="R874" s="161"/>
      <c r="S874" s="161"/>
      <c r="V874" s="162"/>
      <c r="W874" s="162"/>
      <c r="AF874" s="161"/>
    </row>
    <row r="875" spans="5:32">
      <c r="E875" s="157"/>
      <c r="F875" s="157"/>
      <c r="H875" s="158"/>
      <c r="I875" s="158"/>
      <c r="R875" s="161"/>
      <c r="S875" s="161"/>
      <c r="V875" s="162"/>
      <c r="W875" s="162"/>
      <c r="AF875" s="161"/>
    </row>
    <row r="876" spans="5:32">
      <c r="E876" s="157"/>
      <c r="F876" s="157"/>
      <c r="H876" s="158"/>
      <c r="I876" s="158"/>
      <c r="R876" s="161"/>
      <c r="S876" s="161"/>
      <c r="V876" s="162"/>
      <c r="W876" s="162"/>
      <c r="AF876" s="161"/>
    </row>
    <row r="877" spans="5:32">
      <c r="E877" s="157"/>
      <c r="F877" s="157"/>
      <c r="H877" s="158"/>
      <c r="I877" s="158"/>
      <c r="R877" s="161"/>
      <c r="S877" s="161"/>
      <c r="V877" s="162"/>
      <c r="W877" s="162"/>
      <c r="AF877" s="161"/>
    </row>
    <row r="878" spans="5:32">
      <c r="E878" s="157"/>
      <c r="F878" s="157"/>
      <c r="H878" s="158"/>
      <c r="I878" s="158"/>
      <c r="R878" s="161"/>
      <c r="S878" s="161"/>
      <c r="V878" s="162"/>
      <c r="W878" s="162"/>
      <c r="AF878" s="161"/>
    </row>
    <row r="879" spans="5:32">
      <c r="E879" s="157"/>
      <c r="F879" s="157"/>
      <c r="H879" s="158"/>
      <c r="I879" s="158"/>
      <c r="R879" s="161"/>
      <c r="S879" s="161"/>
      <c r="V879" s="162"/>
      <c r="W879" s="162"/>
      <c r="AF879" s="161"/>
    </row>
    <row r="880" spans="5:32">
      <c r="E880" s="157"/>
      <c r="F880" s="157"/>
      <c r="H880" s="158"/>
      <c r="I880" s="158"/>
      <c r="R880" s="161"/>
      <c r="S880" s="161"/>
      <c r="V880" s="162"/>
      <c r="W880" s="162"/>
      <c r="AF880" s="161"/>
    </row>
    <row r="881" spans="5:32">
      <c r="E881" s="157"/>
      <c r="F881" s="157"/>
      <c r="H881" s="158"/>
      <c r="I881" s="158"/>
      <c r="R881" s="161"/>
      <c r="S881" s="161"/>
      <c r="V881" s="162"/>
      <c r="W881" s="162"/>
      <c r="AF881" s="161"/>
    </row>
    <row r="882" spans="5:32">
      <c r="E882" s="157"/>
      <c r="F882" s="157"/>
      <c r="H882" s="158"/>
      <c r="I882" s="158"/>
      <c r="R882" s="161"/>
      <c r="S882" s="161"/>
      <c r="V882" s="162"/>
      <c r="W882" s="162"/>
      <c r="AF882" s="161"/>
    </row>
    <row r="883" spans="5:32">
      <c r="E883" s="157"/>
      <c r="F883" s="157"/>
      <c r="H883" s="158"/>
      <c r="I883" s="158"/>
      <c r="R883" s="161"/>
      <c r="S883" s="161"/>
      <c r="V883" s="162"/>
      <c r="W883" s="162"/>
      <c r="AF883" s="161"/>
    </row>
    <row r="884" spans="5:32">
      <c r="E884" s="157"/>
      <c r="F884" s="157"/>
      <c r="H884" s="158"/>
      <c r="I884" s="158"/>
      <c r="R884" s="161"/>
      <c r="S884" s="161"/>
      <c r="V884" s="162"/>
      <c r="W884" s="162"/>
      <c r="AF884" s="161"/>
    </row>
    <row r="885" spans="5:32">
      <c r="E885" s="157"/>
      <c r="F885" s="157"/>
      <c r="H885" s="158"/>
      <c r="I885" s="158"/>
      <c r="R885" s="161"/>
      <c r="S885" s="161"/>
      <c r="V885" s="162"/>
      <c r="W885" s="162"/>
      <c r="AF885" s="161"/>
    </row>
    <row r="886" spans="5:32">
      <c r="E886" s="157"/>
      <c r="F886" s="157"/>
      <c r="H886" s="158"/>
      <c r="I886" s="158"/>
      <c r="R886" s="161"/>
      <c r="S886" s="161"/>
      <c r="V886" s="162"/>
      <c r="W886" s="162"/>
      <c r="AF886" s="161"/>
    </row>
    <row r="887" spans="5:32">
      <c r="E887" s="157"/>
      <c r="F887" s="157"/>
      <c r="H887" s="158"/>
      <c r="I887" s="158"/>
      <c r="R887" s="161"/>
      <c r="S887" s="161"/>
      <c r="V887" s="162"/>
      <c r="W887" s="162"/>
      <c r="AF887" s="161"/>
    </row>
    <row r="888" spans="5:32">
      <c r="E888" s="157"/>
      <c r="F888" s="157"/>
      <c r="H888" s="158"/>
      <c r="I888" s="158"/>
      <c r="R888" s="161"/>
      <c r="S888" s="161"/>
      <c r="V888" s="162"/>
      <c r="W888" s="162"/>
      <c r="AF888" s="161"/>
    </row>
    <row r="889" spans="5:32">
      <c r="E889" s="157"/>
      <c r="F889" s="157"/>
      <c r="H889" s="158"/>
      <c r="I889" s="158"/>
      <c r="R889" s="161"/>
      <c r="S889" s="161"/>
      <c r="V889" s="162"/>
      <c r="W889" s="162"/>
      <c r="AF889" s="161"/>
    </row>
    <row r="890" spans="5:32">
      <c r="E890" s="157"/>
      <c r="F890" s="157"/>
      <c r="H890" s="158"/>
      <c r="I890" s="158"/>
      <c r="R890" s="161"/>
      <c r="S890" s="161"/>
      <c r="V890" s="162"/>
      <c r="W890" s="162"/>
      <c r="AF890" s="161"/>
    </row>
    <row r="891" spans="5:32">
      <c r="E891" s="157"/>
      <c r="F891" s="157"/>
      <c r="H891" s="158"/>
      <c r="I891" s="158"/>
      <c r="R891" s="161"/>
      <c r="S891" s="161"/>
      <c r="V891" s="162"/>
      <c r="W891" s="162"/>
      <c r="AF891" s="161"/>
    </row>
    <row r="892" spans="5:32">
      <c r="E892" s="157"/>
      <c r="F892" s="157"/>
      <c r="H892" s="158"/>
      <c r="I892" s="158"/>
      <c r="R892" s="161"/>
      <c r="S892" s="161"/>
      <c r="V892" s="162"/>
      <c r="W892" s="162"/>
      <c r="AF892" s="161"/>
    </row>
    <row r="893" spans="5:32">
      <c r="E893" s="157"/>
      <c r="F893" s="157"/>
      <c r="H893" s="158"/>
      <c r="I893" s="158"/>
      <c r="R893" s="161"/>
      <c r="S893" s="161"/>
      <c r="V893" s="162"/>
      <c r="W893" s="162"/>
      <c r="AF893" s="161"/>
    </row>
    <row r="894" spans="5:32">
      <c r="E894" s="157"/>
      <c r="F894" s="157"/>
      <c r="H894" s="158"/>
      <c r="I894" s="158"/>
      <c r="R894" s="161"/>
      <c r="S894" s="161"/>
      <c r="V894" s="162"/>
      <c r="W894" s="162"/>
      <c r="AF894" s="161"/>
    </row>
    <row r="895" spans="5:32">
      <c r="E895" s="157"/>
      <c r="F895" s="157"/>
      <c r="H895" s="158"/>
      <c r="I895" s="158"/>
      <c r="R895" s="161"/>
      <c r="S895" s="161"/>
      <c r="V895" s="162"/>
      <c r="W895" s="162"/>
      <c r="AF895" s="161"/>
    </row>
    <row r="896" spans="5:32">
      <c r="E896" s="157"/>
      <c r="F896" s="157"/>
      <c r="H896" s="158"/>
      <c r="I896" s="158"/>
      <c r="R896" s="161"/>
      <c r="S896" s="161"/>
      <c r="V896" s="162"/>
      <c r="W896" s="162"/>
      <c r="AF896" s="161"/>
    </row>
    <row r="897" spans="5:42">
      <c r="E897" s="157"/>
      <c r="F897" s="157"/>
      <c r="H897" s="158"/>
      <c r="I897" s="158"/>
      <c r="R897" s="161"/>
      <c r="S897" s="161"/>
      <c r="V897" s="162"/>
      <c r="W897" s="162"/>
      <c r="AF897" s="161"/>
    </row>
    <row r="898" spans="5:42">
      <c r="E898" s="157"/>
      <c r="F898" s="157"/>
      <c r="H898" s="158"/>
      <c r="I898" s="158"/>
      <c r="R898" s="161"/>
      <c r="S898" s="161"/>
      <c r="V898" s="162"/>
      <c r="W898" s="162"/>
      <c r="AF898" s="161"/>
    </row>
    <row r="899" spans="5:42">
      <c r="E899" s="157"/>
      <c r="F899" s="157"/>
      <c r="G899" s="161"/>
      <c r="H899" s="158"/>
      <c r="I899" s="158"/>
      <c r="J899" s="161"/>
      <c r="K899" s="161"/>
      <c r="N899" s="161"/>
      <c r="O899" s="161"/>
      <c r="P899" s="161"/>
      <c r="Q899" s="165"/>
      <c r="R899" s="161"/>
      <c r="S899" s="161"/>
      <c r="T899" s="161"/>
      <c r="U899" s="161"/>
      <c r="V899" s="161"/>
      <c r="W899" s="161"/>
      <c r="AF899" s="161"/>
      <c r="AG899" s="161"/>
      <c r="AH899" s="161"/>
      <c r="AI899" s="161"/>
      <c r="AJ899" s="161"/>
      <c r="AL899" s="161"/>
      <c r="AM899" s="161"/>
      <c r="AN899" s="161"/>
      <c r="AO899" s="161"/>
      <c r="AP899" s="161"/>
    </row>
    <row r="900" spans="5:42">
      <c r="E900" s="157"/>
      <c r="F900" s="157"/>
      <c r="H900" s="158"/>
      <c r="I900" s="158"/>
      <c r="R900" s="161"/>
      <c r="S900" s="161"/>
      <c r="V900" s="162"/>
      <c r="W900" s="162"/>
      <c r="AF900" s="161"/>
    </row>
    <row r="901" spans="5:42">
      <c r="E901" s="157"/>
      <c r="F901" s="157"/>
      <c r="H901" s="158"/>
      <c r="I901" s="158"/>
      <c r="R901" s="161"/>
      <c r="S901" s="161"/>
      <c r="V901" s="162"/>
      <c r="W901" s="162"/>
      <c r="AF901" s="161"/>
    </row>
    <row r="902" spans="5:42">
      <c r="E902" s="157"/>
      <c r="F902" s="157"/>
      <c r="H902" s="158"/>
      <c r="I902" s="158"/>
      <c r="R902" s="161"/>
      <c r="S902" s="161"/>
      <c r="V902" s="162"/>
      <c r="W902" s="162"/>
      <c r="AF902" s="161"/>
    </row>
    <row r="903" spans="5:42">
      <c r="E903" s="157"/>
      <c r="F903" s="157"/>
      <c r="H903" s="158"/>
      <c r="I903" s="158"/>
      <c r="R903" s="161"/>
      <c r="S903" s="161"/>
      <c r="V903" s="162"/>
      <c r="W903" s="162"/>
      <c r="AF903" s="161"/>
    </row>
    <row r="904" spans="5:42">
      <c r="E904" s="157"/>
      <c r="F904" s="157"/>
      <c r="H904" s="158"/>
      <c r="I904" s="158"/>
      <c r="R904" s="161"/>
      <c r="S904" s="161"/>
      <c r="V904" s="162"/>
      <c r="W904" s="162"/>
      <c r="AF904" s="161"/>
    </row>
    <row r="905" spans="5:42">
      <c r="E905" s="157"/>
      <c r="F905" s="157"/>
      <c r="H905" s="158"/>
      <c r="I905" s="158"/>
      <c r="R905" s="161"/>
      <c r="S905" s="161"/>
      <c r="V905" s="162"/>
      <c r="W905" s="162"/>
      <c r="AF905" s="161"/>
    </row>
    <row r="906" spans="5:42">
      <c r="E906" s="157"/>
      <c r="F906" s="157"/>
      <c r="H906" s="158"/>
      <c r="I906" s="158"/>
      <c r="R906" s="161"/>
      <c r="S906" s="161"/>
      <c r="V906" s="162"/>
      <c r="W906" s="162"/>
      <c r="AF906" s="161"/>
    </row>
    <row r="907" spans="5:42">
      <c r="E907" s="157"/>
      <c r="F907" s="157"/>
      <c r="H907" s="158"/>
      <c r="I907" s="158"/>
      <c r="R907" s="161"/>
      <c r="S907" s="161"/>
      <c r="V907" s="162"/>
      <c r="W907" s="162"/>
      <c r="AF907" s="161"/>
    </row>
    <row r="908" spans="5:42">
      <c r="E908" s="157"/>
      <c r="F908" s="157"/>
      <c r="H908" s="158"/>
      <c r="I908" s="158"/>
      <c r="R908" s="161"/>
      <c r="S908" s="161"/>
      <c r="V908" s="162"/>
      <c r="W908" s="162"/>
      <c r="AF908" s="161"/>
    </row>
    <row r="909" spans="5:42">
      <c r="E909" s="157"/>
      <c r="F909" s="157"/>
      <c r="H909" s="158"/>
      <c r="I909" s="158"/>
      <c r="R909" s="161"/>
      <c r="S909" s="161"/>
      <c r="V909" s="162"/>
      <c r="W909" s="162"/>
      <c r="AF909" s="161"/>
    </row>
    <row r="910" spans="5:42">
      <c r="E910" s="157"/>
      <c r="F910" s="157"/>
      <c r="H910" s="158"/>
      <c r="I910" s="158"/>
      <c r="R910" s="161"/>
      <c r="S910" s="161"/>
      <c r="V910" s="162"/>
      <c r="W910" s="162"/>
      <c r="AF910" s="161"/>
    </row>
    <row r="911" spans="5:42">
      <c r="E911" s="157"/>
      <c r="F911" s="157"/>
      <c r="H911" s="158"/>
      <c r="I911" s="158"/>
      <c r="R911" s="161"/>
      <c r="S911" s="161"/>
      <c r="V911" s="162"/>
      <c r="W911" s="162"/>
      <c r="AF911" s="161"/>
    </row>
    <row r="912" spans="5:42">
      <c r="E912" s="157"/>
      <c r="F912" s="157"/>
      <c r="H912" s="158"/>
      <c r="I912" s="158"/>
      <c r="R912" s="161"/>
      <c r="S912" s="161"/>
      <c r="V912" s="162"/>
      <c r="W912" s="162"/>
      <c r="AF912" s="161"/>
    </row>
    <row r="913" spans="5:32">
      <c r="E913" s="157"/>
      <c r="F913" s="157"/>
      <c r="H913" s="158"/>
      <c r="I913" s="158"/>
      <c r="R913" s="161"/>
      <c r="S913" s="161"/>
      <c r="V913" s="162"/>
      <c r="W913" s="162"/>
      <c r="AF913" s="161"/>
    </row>
    <row r="914" spans="5:32">
      <c r="E914" s="157"/>
      <c r="F914" s="157"/>
      <c r="H914" s="158"/>
      <c r="I914" s="158"/>
      <c r="R914" s="161"/>
      <c r="S914" s="161"/>
      <c r="V914" s="162"/>
      <c r="W914" s="162"/>
      <c r="AF914" s="161"/>
    </row>
    <row r="915" spans="5:32">
      <c r="E915" s="157"/>
      <c r="F915" s="157"/>
      <c r="H915" s="158"/>
      <c r="I915" s="158"/>
      <c r="R915" s="161"/>
      <c r="S915" s="161"/>
      <c r="V915" s="162"/>
      <c r="W915" s="162"/>
      <c r="AF915" s="161"/>
    </row>
    <row r="916" spans="5:32">
      <c r="E916" s="157"/>
      <c r="F916" s="157"/>
      <c r="H916" s="158"/>
      <c r="I916" s="158"/>
      <c r="R916" s="161"/>
      <c r="S916" s="161"/>
      <c r="V916" s="162"/>
      <c r="W916" s="162"/>
      <c r="AF916" s="161"/>
    </row>
    <row r="917" spans="5:32">
      <c r="E917" s="157"/>
      <c r="F917" s="157"/>
      <c r="H917" s="158"/>
      <c r="I917" s="158"/>
      <c r="R917" s="161"/>
      <c r="S917" s="161"/>
      <c r="V917" s="162"/>
      <c r="W917" s="162"/>
      <c r="AF917" s="161"/>
    </row>
    <row r="918" spans="5:32">
      <c r="E918" s="157"/>
      <c r="F918" s="157"/>
      <c r="H918" s="158"/>
      <c r="I918" s="158"/>
      <c r="R918" s="161"/>
      <c r="S918" s="161"/>
      <c r="V918" s="162"/>
      <c r="W918" s="162"/>
      <c r="AF918" s="161"/>
    </row>
    <row r="919" spans="5:32">
      <c r="E919" s="157"/>
      <c r="F919" s="157"/>
      <c r="H919" s="158"/>
      <c r="I919" s="158"/>
      <c r="R919" s="161"/>
      <c r="S919" s="161"/>
      <c r="V919" s="162"/>
      <c r="W919" s="162"/>
      <c r="AF919" s="161"/>
    </row>
    <row r="920" spans="5:32">
      <c r="E920" s="157"/>
      <c r="F920" s="157"/>
      <c r="H920" s="158"/>
      <c r="I920" s="158"/>
      <c r="R920" s="161"/>
      <c r="S920" s="161"/>
      <c r="V920" s="162"/>
      <c r="W920" s="162"/>
      <c r="AF920" s="161"/>
    </row>
    <row r="921" spans="5:32">
      <c r="E921" s="157"/>
      <c r="F921" s="157"/>
      <c r="H921" s="158"/>
      <c r="I921" s="158"/>
      <c r="R921" s="161"/>
      <c r="S921" s="161"/>
      <c r="V921" s="162"/>
      <c r="W921" s="162"/>
      <c r="AF921" s="161"/>
    </row>
    <row r="922" spans="5:32">
      <c r="E922" s="157"/>
      <c r="F922" s="157"/>
      <c r="H922" s="158"/>
      <c r="I922" s="158"/>
      <c r="R922" s="161"/>
      <c r="S922" s="161"/>
      <c r="V922" s="162"/>
      <c r="W922" s="162"/>
      <c r="AF922" s="161"/>
    </row>
    <row r="923" spans="5:32">
      <c r="E923" s="157"/>
      <c r="F923" s="157"/>
      <c r="H923" s="158"/>
      <c r="I923" s="158"/>
      <c r="R923" s="161"/>
      <c r="S923" s="161"/>
      <c r="V923" s="162"/>
      <c r="W923" s="162"/>
      <c r="AF923" s="161"/>
    </row>
    <row r="924" spans="5:32">
      <c r="E924" s="157"/>
      <c r="F924" s="157"/>
      <c r="H924" s="158"/>
      <c r="I924" s="158"/>
      <c r="R924" s="161"/>
      <c r="S924" s="161"/>
      <c r="V924" s="162"/>
      <c r="W924" s="162"/>
      <c r="AF924" s="161"/>
    </row>
    <row r="925" spans="5:32">
      <c r="E925" s="157"/>
      <c r="F925" s="157"/>
      <c r="H925" s="158"/>
      <c r="I925" s="158"/>
      <c r="R925" s="161"/>
      <c r="S925" s="161"/>
      <c r="V925" s="162"/>
      <c r="W925" s="162"/>
      <c r="AF925" s="161"/>
    </row>
    <row r="926" spans="5:32">
      <c r="E926" s="157"/>
      <c r="F926" s="157"/>
      <c r="H926" s="158"/>
      <c r="I926" s="158"/>
      <c r="R926" s="161"/>
      <c r="S926" s="161"/>
      <c r="V926" s="162"/>
      <c r="W926" s="162"/>
      <c r="AF926" s="161"/>
    </row>
    <row r="927" spans="5:32">
      <c r="E927" s="157"/>
      <c r="F927" s="157"/>
      <c r="H927" s="158"/>
      <c r="I927" s="158"/>
      <c r="R927" s="161"/>
      <c r="S927" s="161"/>
      <c r="V927" s="162"/>
      <c r="W927" s="162"/>
      <c r="AF927" s="161"/>
    </row>
    <row r="928" spans="5:32">
      <c r="E928" s="157"/>
      <c r="F928" s="157"/>
      <c r="H928" s="158"/>
      <c r="I928" s="158"/>
      <c r="R928" s="161"/>
      <c r="S928" s="161"/>
      <c r="V928" s="162"/>
      <c r="W928" s="162"/>
      <c r="AF928" s="161"/>
    </row>
    <row r="929" spans="5:32">
      <c r="E929" s="157"/>
      <c r="F929" s="157"/>
      <c r="H929" s="158"/>
      <c r="I929" s="158"/>
      <c r="R929" s="161"/>
      <c r="S929" s="161"/>
      <c r="V929" s="162"/>
      <c r="W929" s="162"/>
      <c r="AF929" s="161"/>
    </row>
    <row r="930" spans="5:32">
      <c r="E930" s="157"/>
      <c r="F930" s="157"/>
      <c r="H930" s="158"/>
      <c r="I930" s="158"/>
      <c r="R930" s="161"/>
      <c r="S930" s="161"/>
      <c r="V930" s="162"/>
      <c r="W930" s="162"/>
      <c r="AF930" s="161"/>
    </row>
    <row r="931" spans="5:32">
      <c r="E931" s="157"/>
      <c r="F931" s="157"/>
      <c r="H931" s="158"/>
      <c r="I931" s="158"/>
      <c r="R931" s="161"/>
      <c r="S931" s="161"/>
      <c r="V931" s="162"/>
      <c r="W931" s="162"/>
      <c r="AF931" s="161"/>
    </row>
    <row r="932" spans="5:32">
      <c r="E932" s="157"/>
      <c r="F932" s="157"/>
      <c r="H932" s="158"/>
      <c r="I932" s="158"/>
      <c r="R932" s="161"/>
      <c r="S932" s="161"/>
      <c r="V932" s="162"/>
      <c r="W932" s="162"/>
      <c r="AF932" s="161"/>
    </row>
    <row r="933" spans="5:32">
      <c r="E933" s="157"/>
      <c r="F933" s="157"/>
      <c r="H933" s="158"/>
      <c r="I933" s="158"/>
      <c r="R933" s="161"/>
      <c r="S933" s="161"/>
      <c r="V933" s="162"/>
      <c r="W933" s="162"/>
      <c r="AF933" s="161"/>
    </row>
    <row r="934" spans="5:32">
      <c r="E934" s="157"/>
      <c r="F934" s="157"/>
      <c r="H934" s="158"/>
      <c r="I934" s="158"/>
      <c r="R934" s="161"/>
      <c r="S934" s="161"/>
      <c r="V934" s="162"/>
      <c r="W934" s="162"/>
      <c r="AF934" s="161"/>
    </row>
    <row r="935" spans="5:32">
      <c r="E935" s="157"/>
      <c r="F935" s="157"/>
      <c r="H935" s="158"/>
      <c r="I935" s="158"/>
      <c r="R935" s="161"/>
      <c r="S935" s="161"/>
      <c r="V935" s="162"/>
      <c r="W935" s="162"/>
      <c r="AF935" s="161"/>
    </row>
    <row r="936" spans="5:32">
      <c r="E936" s="157"/>
      <c r="F936" s="157"/>
      <c r="H936" s="158"/>
      <c r="I936" s="158"/>
      <c r="R936" s="161"/>
      <c r="S936" s="161"/>
      <c r="V936" s="162"/>
      <c r="W936" s="162"/>
      <c r="AF936" s="161"/>
    </row>
    <row r="937" spans="5:32">
      <c r="E937" s="157"/>
      <c r="F937" s="157"/>
      <c r="H937" s="158"/>
      <c r="I937" s="158"/>
      <c r="R937" s="161"/>
      <c r="S937" s="161"/>
      <c r="V937" s="162"/>
      <c r="W937" s="162"/>
      <c r="AF937" s="161"/>
    </row>
    <row r="938" spans="5:32">
      <c r="E938" s="157"/>
      <c r="F938" s="157"/>
      <c r="H938" s="158"/>
      <c r="I938" s="158"/>
      <c r="R938" s="161"/>
      <c r="S938" s="161"/>
      <c r="V938" s="162"/>
      <c r="W938" s="162"/>
      <c r="AF938" s="161"/>
    </row>
    <row r="939" spans="5:32">
      <c r="E939" s="157"/>
      <c r="F939" s="157"/>
      <c r="H939" s="158"/>
      <c r="I939" s="158"/>
      <c r="R939" s="161"/>
      <c r="S939" s="161"/>
      <c r="V939" s="162"/>
      <c r="W939" s="162"/>
      <c r="AF939" s="161"/>
    </row>
    <row r="940" spans="5:32">
      <c r="E940" s="157"/>
      <c r="F940" s="157"/>
      <c r="H940" s="158"/>
      <c r="I940" s="158"/>
      <c r="R940" s="161"/>
      <c r="S940" s="161"/>
      <c r="V940" s="162"/>
      <c r="W940" s="162"/>
      <c r="AF940" s="161"/>
    </row>
    <row r="941" spans="5:32">
      <c r="E941" s="157"/>
      <c r="F941" s="157"/>
      <c r="H941" s="158"/>
      <c r="I941" s="158"/>
      <c r="R941" s="161"/>
      <c r="S941" s="161"/>
      <c r="V941" s="162"/>
      <c r="W941" s="162"/>
      <c r="AF941" s="161"/>
    </row>
    <row r="942" spans="5:32">
      <c r="E942" s="157"/>
      <c r="F942" s="157"/>
      <c r="H942" s="158"/>
      <c r="I942" s="158"/>
      <c r="R942" s="161"/>
      <c r="S942" s="161"/>
      <c r="V942" s="162"/>
      <c r="W942" s="162"/>
      <c r="AF942" s="161"/>
    </row>
    <row r="943" spans="5:32">
      <c r="E943" s="157"/>
      <c r="F943" s="157"/>
      <c r="H943" s="158"/>
      <c r="I943" s="158"/>
      <c r="R943" s="161"/>
      <c r="S943" s="161"/>
      <c r="V943" s="162"/>
      <c r="W943" s="162"/>
      <c r="AF943" s="161"/>
    </row>
    <row r="944" spans="5:32">
      <c r="E944" s="157"/>
      <c r="F944" s="157"/>
      <c r="H944" s="158"/>
      <c r="I944" s="158"/>
      <c r="R944" s="161"/>
      <c r="S944" s="161"/>
      <c r="V944" s="162"/>
      <c r="W944" s="162"/>
      <c r="AF944" s="161"/>
    </row>
    <row r="945" spans="5:42">
      <c r="E945" s="157"/>
      <c r="F945" s="157"/>
      <c r="H945" s="158"/>
      <c r="I945" s="158"/>
      <c r="R945" s="161"/>
      <c r="S945" s="161"/>
      <c r="V945" s="162"/>
      <c r="W945" s="162"/>
      <c r="AF945" s="161"/>
    </row>
    <row r="946" spans="5:42">
      <c r="E946" s="157"/>
      <c r="F946" s="157"/>
      <c r="H946" s="158"/>
      <c r="I946" s="158"/>
      <c r="R946" s="161"/>
      <c r="S946" s="161"/>
      <c r="V946" s="162"/>
      <c r="W946" s="162"/>
      <c r="AF946" s="161"/>
    </row>
    <row r="947" spans="5:42">
      <c r="E947" s="157"/>
      <c r="F947" s="157"/>
      <c r="H947" s="158"/>
      <c r="I947" s="158"/>
      <c r="R947" s="161"/>
      <c r="S947" s="161"/>
      <c r="V947" s="162"/>
      <c r="W947" s="162"/>
      <c r="AF947" s="161"/>
    </row>
    <row r="948" spans="5:42">
      <c r="E948" s="157"/>
      <c r="F948" s="157"/>
      <c r="H948" s="158"/>
      <c r="I948" s="158"/>
      <c r="R948" s="161"/>
      <c r="S948" s="161"/>
      <c r="V948" s="162"/>
      <c r="W948" s="162"/>
      <c r="AF948" s="161"/>
    </row>
    <row r="949" spans="5:42">
      <c r="E949" s="157"/>
      <c r="F949" s="157"/>
      <c r="H949" s="158"/>
      <c r="I949" s="158"/>
      <c r="R949" s="161"/>
      <c r="S949" s="161"/>
      <c r="V949" s="162"/>
      <c r="W949" s="162"/>
      <c r="AF949" s="161"/>
    </row>
    <row r="950" spans="5:42">
      <c r="E950" s="157"/>
      <c r="F950" s="157"/>
      <c r="H950" s="158"/>
      <c r="I950" s="158"/>
      <c r="R950" s="161"/>
      <c r="S950" s="161"/>
      <c r="V950" s="162"/>
      <c r="W950" s="162"/>
      <c r="AF950" s="161"/>
    </row>
    <row r="951" spans="5:42">
      <c r="E951" s="157"/>
      <c r="F951" s="157"/>
      <c r="H951" s="158"/>
      <c r="I951" s="158"/>
      <c r="R951" s="161"/>
      <c r="S951" s="161"/>
      <c r="V951" s="162"/>
      <c r="W951" s="162"/>
      <c r="AF951" s="161"/>
    </row>
    <row r="952" spans="5:42">
      <c r="E952" s="157"/>
      <c r="F952" s="157"/>
      <c r="H952" s="158"/>
      <c r="I952" s="158"/>
      <c r="R952" s="161"/>
      <c r="S952" s="161"/>
      <c r="V952" s="162"/>
      <c r="W952" s="162"/>
      <c r="AF952" s="161"/>
    </row>
    <row r="953" spans="5:42">
      <c r="E953" s="157"/>
      <c r="F953" s="157"/>
      <c r="H953" s="158"/>
      <c r="I953" s="158"/>
      <c r="R953" s="161"/>
      <c r="S953" s="161"/>
      <c r="V953" s="162"/>
      <c r="W953" s="162"/>
      <c r="AF953" s="161"/>
    </row>
    <row r="954" spans="5:42">
      <c r="E954" s="157"/>
      <c r="F954" s="157"/>
      <c r="H954" s="158"/>
      <c r="I954" s="158"/>
      <c r="R954" s="161"/>
      <c r="S954" s="161"/>
      <c r="V954" s="162"/>
      <c r="W954" s="162"/>
      <c r="AF954" s="161"/>
    </row>
    <row r="955" spans="5:42">
      <c r="E955" s="157"/>
      <c r="F955" s="157"/>
      <c r="H955" s="158"/>
      <c r="I955" s="158"/>
      <c r="R955" s="161"/>
      <c r="S955" s="161"/>
      <c r="V955" s="162"/>
      <c r="W955" s="162"/>
      <c r="AF955" s="161"/>
    </row>
    <row r="956" spans="5:42">
      <c r="E956" s="157"/>
      <c r="F956" s="157"/>
      <c r="H956" s="158"/>
      <c r="I956" s="158"/>
      <c r="R956" s="161"/>
      <c r="S956" s="161"/>
      <c r="V956" s="162"/>
      <c r="W956" s="162"/>
      <c r="AF956" s="161"/>
    </row>
    <row r="957" spans="5:42">
      <c r="E957" s="157"/>
      <c r="F957" s="157"/>
      <c r="H957" s="158"/>
      <c r="I957" s="158"/>
      <c r="R957" s="161"/>
      <c r="S957" s="161"/>
      <c r="V957" s="162"/>
      <c r="W957" s="162"/>
      <c r="AF957" s="161"/>
    </row>
    <row r="958" spans="5:42">
      <c r="E958" s="157"/>
      <c r="F958" s="157"/>
      <c r="H958" s="158"/>
      <c r="I958" s="158"/>
      <c r="R958" s="161"/>
      <c r="S958" s="161"/>
      <c r="V958" s="162"/>
      <c r="W958" s="162"/>
      <c r="AF958" s="161"/>
    </row>
    <row r="959" spans="5:42">
      <c r="G959" s="162"/>
      <c r="J959" s="162"/>
      <c r="K959" s="162"/>
      <c r="N959" s="162"/>
      <c r="O959" s="162"/>
      <c r="P959" s="162"/>
      <c r="Q959" s="166"/>
      <c r="T959" s="162"/>
      <c r="U959" s="162"/>
      <c r="V959" s="162"/>
      <c r="W959" s="162"/>
      <c r="AG959" s="162"/>
      <c r="AH959" s="162"/>
      <c r="AI959" s="162"/>
      <c r="AJ959" s="162"/>
      <c r="AL959" s="162"/>
      <c r="AM959" s="162"/>
      <c r="AN959" s="162"/>
      <c r="AO959" s="162"/>
      <c r="AP959" s="162"/>
    </row>
    <row r="960" spans="5:42">
      <c r="E960" s="157"/>
      <c r="F960" s="157"/>
      <c r="H960" s="158"/>
      <c r="I960" s="158"/>
      <c r="R960" s="161"/>
      <c r="S960" s="161"/>
      <c r="V960" s="162"/>
      <c r="W960" s="162"/>
      <c r="AF960" s="161"/>
    </row>
    <row r="961" spans="5:42">
      <c r="E961" s="157"/>
      <c r="F961" s="157"/>
      <c r="H961" s="158"/>
      <c r="I961" s="158"/>
      <c r="R961" s="161"/>
      <c r="S961" s="161"/>
      <c r="V961" s="162"/>
      <c r="W961" s="162"/>
      <c r="AF961" s="161"/>
    </row>
    <row r="962" spans="5:42">
      <c r="E962" s="157"/>
      <c r="F962" s="157"/>
      <c r="H962" s="158"/>
      <c r="I962" s="158"/>
      <c r="R962" s="161"/>
      <c r="S962" s="161"/>
      <c r="V962" s="162"/>
      <c r="W962" s="162"/>
      <c r="AF962" s="161"/>
    </row>
    <row r="963" spans="5:42">
      <c r="E963" s="157"/>
      <c r="F963" s="157"/>
      <c r="H963" s="158"/>
      <c r="I963" s="158"/>
      <c r="R963" s="161"/>
      <c r="S963" s="161"/>
      <c r="V963" s="162"/>
      <c r="W963" s="162"/>
      <c r="AF963" s="161"/>
    </row>
    <row r="964" spans="5:42">
      <c r="E964" s="157"/>
      <c r="F964" s="157"/>
      <c r="H964" s="158"/>
      <c r="I964" s="158"/>
      <c r="R964" s="161"/>
      <c r="S964" s="161"/>
      <c r="V964" s="162"/>
      <c r="W964" s="162"/>
      <c r="AF964" s="161"/>
    </row>
    <row r="965" spans="5:42">
      <c r="E965" s="157"/>
      <c r="F965" s="157"/>
      <c r="H965" s="158"/>
      <c r="I965" s="158"/>
      <c r="R965" s="161"/>
      <c r="S965" s="161"/>
      <c r="V965" s="162"/>
      <c r="W965" s="162"/>
      <c r="AF965" s="161"/>
    </row>
    <row r="966" spans="5:42">
      <c r="E966" s="157"/>
      <c r="F966" s="157"/>
      <c r="H966" s="158"/>
      <c r="I966" s="158"/>
      <c r="R966" s="161"/>
      <c r="S966" s="161"/>
      <c r="V966" s="162"/>
      <c r="W966" s="162"/>
      <c r="AF966" s="161"/>
    </row>
    <row r="967" spans="5:42">
      <c r="E967" s="157"/>
      <c r="F967" s="157"/>
      <c r="H967" s="158"/>
      <c r="I967" s="158"/>
      <c r="R967" s="161"/>
      <c r="S967" s="161"/>
      <c r="V967" s="162"/>
      <c r="W967" s="162"/>
      <c r="AF967" s="161"/>
    </row>
    <row r="968" spans="5:42">
      <c r="E968" s="157"/>
      <c r="F968" s="157"/>
      <c r="H968" s="158"/>
      <c r="I968" s="158"/>
      <c r="R968" s="161"/>
      <c r="S968" s="161"/>
      <c r="V968" s="162"/>
      <c r="W968" s="162"/>
      <c r="AF968" s="161"/>
    </row>
    <row r="969" spans="5:42">
      <c r="E969" s="157"/>
      <c r="F969" s="157"/>
      <c r="H969" s="158"/>
      <c r="I969" s="158"/>
      <c r="R969" s="161"/>
      <c r="S969" s="161"/>
      <c r="V969" s="162"/>
      <c r="W969" s="162"/>
      <c r="AF969" s="161"/>
    </row>
    <row r="970" spans="5:42">
      <c r="E970" s="157"/>
      <c r="F970" s="157"/>
      <c r="H970" s="158"/>
      <c r="I970" s="158"/>
      <c r="R970" s="161"/>
      <c r="S970" s="161"/>
      <c r="V970" s="162"/>
      <c r="W970" s="162"/>
      <c r="AF970" s="161"/>
    </row>
    <row r="971" spans="5:42">
      <c r="E971" s="157"/>
      <c r="F971" s="157"/>
      <c r="H971" s="158"/>
      <c r="I971" s="158"/>
      <c r="R971" s="161"/>
      <c r="S971" s="161"/>
      <c r="V971" s="162"/>
      <c r="W971" s="162"/>
      <c r="AF971" s="161"/>
    </row>
    <row r="972" spans="5:42">
      <c r="E972" s="157"/>
      <c r="F972" s="157"/>
      <c r="H972" s="158"/>
      <c r="I972" s="158"/>
      <c r="R972" s="161"/>
      <c r="S972" s="161"/>
      <c r="V972" s="162"/>
      <c r="W972" s="162"/>
      <c r="AF972" s="161"/>
    </row>
    <row r="973" spans="5:42">
      <c r="E973" s="157"/>
      <c r="F973" s="157"/>
      <c r="H973" s="158"/>
      <c r="I973" s="158"/>
      <c r="R973" s="161"/>
      <c r="S973" s="161"/>
      <c r="V973" s="162"/>
      <c r="W973" s="162"/>
      <c r="AF973" s="161"/>
    </row>
    <row r="974" spans="5:42">
      <c r="E974" s="157"/>
      <c r="F974" s="157"/>
      <c r="H974" s="158"/>
      <c r="I974" s="158"/>
      <c r="R974" s="161"/>
      <c r="S974" s="161"/>
      <c r="V974" s="162"/>
      <c r="W974" s="162"/>
      <c r="AF974" s="161"/>
    </row>
    <row r="975" spans="5:42">
      <c r="E975" s="157"/>
      <c r="F975" s="157"/>
      <c r="G975" s="161"/>
      <c r="H975" s="158"/>
      <c r="I975" s="158"/>
      <c r="J975" s="161"/>
      <c r="K975" s="161"/>
      <c r="N975" s="161"/>
      <c r="O975" s="161"/>
      <c r="P975" s="161"/>
      <c r="Q975" s="165"/>
      <c r="R975" s="161"/>
      <c r="S975" s="161"/>
      <c r="T975" s="161"/>
      <c r="U975" s="161"/>
      <c r="V975" s="161"/>
      <c r="W975" s="161"/>
      <c r="AF975" s="161"/>
      <c r="AG975" s="161"/>
      <c r="AH975" s="161"/>
      <c r="AI975" s="161"/>
      <c r="AJ975" s="161"/>
      <c r="AL975" s="161"/>
      <c r="AM975" s="161"/>
      <c r="AN975" s="161"/>
      <c r="AO975" s="161"/>
      <c r="AP975" s="161"/>
    </row>
    <row r="976" spans="5:42">
      <c r="E976" s="157"/>
      <c r="F976" s="157"/>
      <c r="H976" s="158"/>
      <c r="I976" s="158"/>
      <c r="R976" s="161"/>
      <c r="S976" s="161"/>
      <c r="V976" s="162"/>
      <c r="W976" s="162"/>
      <c r="AF976" s="161"/>
    </row>
    <row r="977" spans="5:32">
      <c r="E977" s="157"/>
      <c r="F977" s="157"/>
      <c r="H977" s="158"/>
      <c r="I977" s="158"/>
      <c r="R977" s="161"/>
      <c r="S977" s="161"/>
      <c r="V977" s="162"/>
      <c r="W977" s="162"/>
      <c r="AF977" s="161"/>
    </row>
    <row r="978" spans="5:32">
      <c r="E978" s="157"/>
      <c r="F978" s="157"/>
      <c r="H978" s="158"/>
      <c r="I978" s="158"/>
      <c r="R978" s="161"/>
      <c r="S978" s="161"/>
      <c r="V978" s="162"/>
      <c r="W978" s="162"/>
      <c r="AF978" s="161"/>
    </row>
    <row r="979" spans="5:32">
      <c r="E979" s="157"/>
      <c r="F979" s="157"/>
      <c r="H979" s="158"/>
      <c r="I979" s="158"/>
      <c r="R979" s="161"/>
      <c r="S979" s="161"/>
      <c r="V979" s="162"/>
      <c r="W979" s="162"/>
      <c r="AF979" s="161"/>
    </row>
    <row r="980" spans="5:32">
      <c r="E980" s="157"/>
      <c r="F980" s="157"/>
      <c r="H980" s="158"/>
      <c r="I980" s="158"/>
      <c r="R980" s="161"/>
      <c r="S980" s="161"/>
      <c r="V980" s="162"/>
      <c r="W980" s="162"/>
      <c r="AF980" s="161"/>
    </row>
    <row r="981" spans="5:32">
      <c r="E981" s="157"/>
      <c r="F981" s="157"/>
      <c r="H981" s="158"/>
      <c r="I981" s="158"/>
      <c r="R981" s="161"/>
      <c r="S981" s="161"/>
      <c r="V981" s="162"/>
      <c r="W981" s="162"/>
      <c r="AF981" s="161"/>
    </row>
    <row r="982" spans="5:32">
      <c r="E982" s="157"/>
      <c r="F982" s="157"/>
      <c r="H982" s="158"/>
      <c r="I982" s="158"/>
      <c r="R982" s="161"/>
      <c r="S982" s="161"/>
      <c r="V982" s="162"/>
      <c r="W982" s="162"/>
      <c r="AF982" s="161"/>
    </row>
    <row r="983" spans="5:32">
      <c r="E983" s="157"/>
      <c r="F983" s="157"/>
      <c r="H983" s="158"/>
      <c r="I983" s="158"/>
      <c r="R983" s="161"/>
      <c r="S983" s="161"/>
      <c r="V983" s="162"/>
      <c r="W983" s="162"/>
      <c r="AF983" s="161"/>
    </row>
    <row r="984" spans="5:32">
      <c r="E984" s="157"/>
      <c r="F984" s="157"/>
      <c r="H984" s="158"/>
      <c r="I984" s="158"/>
      <c r="R984" s="161"/>
      <c r="S984" s="161"/>
      <c r="V984" s="162"/>
      <c r="W984" s="162"/>
      <c r="AF984" s="161"/>
    </row>
    <row r="985" spans="5:32">
      <c r="E985" s="157"/>
      <c r="F985" s="157"/>
      <c r="H985" s="158"/>
      <c r="I985" s="158"/>
      <c r="R985" s="161"/>
      <c r="S985" s="161"/>
      <c r="V985" s="162"/>
      <c r="W985" s="162"/>
      <c r="AF985" s="161"/>
    </row>
    <row r="986" spans="5:32">
      <c r="E986" s="157"/>
      <c r="F986" s="157"/>
      <c r="H986" s="158"/>
      <c r="I986" s="158"/>
      <c r="R986" s="161"/>
      <c r="S986" s="161"/>
      <c r="V986" s="162"/>
      <c r="W986" s="162"/>
      <c r="AF986" s="161"/>
    </row>
    <row r="987" spans="5:32">
      <c r="E987" s="157"/>
      <c r="F987" s="157"/>
      <c r="H987" s="158"/>
      <c r="I987" s="158"/>
      <c r="R987" s="161"/>
      <c r="S987" s="161"/>
      <c r="V987" s="162"/>
      <c r="W987" s="162"/>
      <c r="AF987" s="161"/>
    </row>
    <row r="988" spans="5:32">
      <c r="E988" s="157"/>
      <c r="F988" s="157"/>
      <c r="H988" s="158"/>
      <c r="I988" s="158"/>
      <c r="R988" s="161"/>
      <c r="S988" s="161"/>
      <c r="V988" s="162"/>
      <c r="W988" s="162"/>
      <c r="AF988" s="161"/>
    </row>
    <row r="989" spans="5:32">
      <c r="E989" s="157"/>
      <c r="F989" s="157"/>
      <c r="H989" s="158"/>
      <c r="I989" s="158"/>
      <c r="R989" s="161"/>
      <c r="S989" s="161"/>
      <c r="V989" s="162"/>
      <c r="W989" s="162"/>
      <c r="AF989" s="161"/>
    </row>
    <row r="990" spans="5:32">
      <c r="E990" s="157"/>
      <c r="F990" s="157"/>
      <c r="H990" s="158"/>
      <c r="I990" s="158"/>
      <c r="R990" s="161"/>
      <c r="S990" s="161"/>
      <c r="V990" s="162"/>
      <c r="W990" s="162"/>
      <c r="AF990" s="161"/>
    </row>
    <row r="991" spans="5:32">
      <c r="E991" s="157"/>
      <c r="F991" s="157"/>
      <c r="H991" s="158"/>
      <c r="I991" s="158"/>
      <c r="R991" s="161"/>
      <c r="S991" s="161"/>
      <c r="V991" s="162"/>
      <c r="W991" s="162"/>
      <c r="AF991" s="161"/>
    </row>
    <row r="992" spans="5:32">
      <c r="E992" s="157"/>
      <c r="F992" s="157"/>
      <c r="H992" s="158"/>
      <c r="I992" s="158"/>
      <c r="R992" s="161"/>
      <c r="S992" s="161"/>
      <c r="V992" s="162"/>
      <c r="W992" s="162"/>
      <c r="AF992" s="161"/>
    </row>
    <row r="993" spans="5:32">
      <c r="E993" s="157"/>
      <c r="F993" s="157"/>
      <c r="H993" s="158"/>
      <c r="I993" s="158"/>
      <c r="R993" s="161"/>
      <c r="S993" s="161"/>
      <c r="V993" s="162"/>
      <c r="W993" s="162"/>
      <c r="AF993" s="161"/>
    </row>
    <row r="994" spans="5:32">
      <c r="E994" s="157"/>
      <c r="F994" s="157"/>
      <c r="H994" s="158"/>
      <c r="I994" s="158"/>
      <c r="R994" s="161"/>
      <c r="S994" s="161"/>
      <c r="V994" s="162"/>
      <c r="W994" s="162"/>
      <c r="AF994" s="161"/>
    </row>
    <row r="995" spans="5:32">
      <c r="E995" s="157"/>
      <c r="F995" s="157"/>
      <c r="H995" s="158"/>
      <c r="I995" s="158"/>
      <c r="R995" s="161"/>
      <c r="S995" s="161"/>
      <c r="V995" s="162"/>
      <c r="W995" s="162"/>
      <c r="AF995" s="161"/>
    </row>
    <row r="996" spans="5:32">
      <c r="E996" s="157"/>
      <c r="F996" s="157"/>
      <c r="H996" s="158"/>
      <c r="I996" s="158"/>
      <c r="R996" s="161"/>
      <c r="S996" s="161"/>
      <c r="V996" s="162"/>
      <c r="W996" s="162"/>
      <c r="AF996" s="161"/>
    </row>
    <row r="997" spans="5:32">
      <c r="E997" s="157"/>
      <c r="F997" s="157"/>
      <c r="H997" s="158"/>
      <c r="I997" s="158"/>
      <c r="R997" s="161"/>
      <c r="S997" s="161"/>
      <c r="V997" s="162"/>
      <c r="W997" s="162"/>
      <c r="AF997" s="161"/>
    </row>
    <row r="998" spans="5:32">
      <c r="E998" s="157"/>
      <c r="F998" s="157"/>
      <c r="H998" s="158"/>
      <c r="I998" s="158"/>
      <c r="R998" s="161"/>
      <c r="S998" s="161"/>
      <c r="V998" s="162"/>
      <c r="W998" s="162"/>
      <c r="AF998" s="161"/>
    </row>
    <row r="999" spans="5:32">
      <c r="E999" s="157"/>
      <c r="F999" s="157"/>
      <c r="H999" s="158"/>
      <c r="I999" s="158"/>
      <c r="R999" s="161"/>
      <c r="S999" s="161"/>
      <c r="V999" s="162"/>
      <c r="W999" s="162"/>
      <c r="AF999" s="161"/>
    </row>
    <row r="1000" spans="5:32">
      <c r="E1000" s="157"/>
      <c r="F1000" s="157"/>
      <c r="H1000" s="158"/>
      <c r="I1000" s="158"/>
      <c r="R1000" s="161"/>
      <c r="S1000" s="161"/>
      <c r="V1000" s="162"/>
      <c r="W1000" s="162"/>
      <c r="AF1000" s="161"/>
    </row>
    <row r="1001" spans="5:32">
      <c r="E1001" s="157"/>
      <c r="F1001" s="157"/>
      <c r="H1001" s="158"/>
      <c r="I1001" s="158"/>
      <c r="R1001" s="161"/>
      <c r="S1001" s="161"/>
      <c r="V1001" s="162"/>
      <c r="W1001" s="162"/>
      <c r="AF1001" s="161"/>
    </row>
    <row r="1002" spans="5:32">
      <c r="E1002" s="157"/>
      <c r="F1002" s="157"/>
      <c r="H1002" s="158"/>
      <c r="I1002" s="158"/>
      <c r="R1002" s="161"/>
      <c r="S1002" s="161"/>
      <c r="V1002" s="162"/>
      <c r="W1002" s="162"/>
      <c r="AF1002" s="161"/>
    </row>
    <row r="1003" spans="5:32">
      <c r="E1003" s="157"/>
      <c r="F1003" s="157"/>
      <c r="H1003" s="158"/>
      <c r="I1003" s="158"/>
      <c r="R1003" s="161"/>
      <c r="S1003" s="161"/>
      <c r="V1003" s="162"/>
      <c r="W1003" s="162"/>
      <c r="AF1003" s="161"/>
    </row>
    <row r="1004" spans="5:32">
      <c r="E1004" s="157"/>
      <c r="F1004" s="157"/>
      <c r="H1004" s="158"/>
      <c r="I1004" s="158"/>
      <c r="R1004" s="161"/>
      <c r="S1004" s="161"/>
      <c r="V1004" s="162"/>
      <c r="W1004" s="162"/>
      <c r="AF1004" s="161"/>
    </row>
    <row r="1005" spans="5:32">
      <c r="E1005" s="157"/>
      <c r="F1005" s="157"/>
      <c r="H1005" s="158"/>
      <c r="I1005" s="158"/>
      <c r="R1005" s="161"/>
      <c r="S1005" s="161"/>
      <c r="V1005" s="162"/>
      <c r="W1005" s="162"/>
      <c r="AF1005" s="161"/>
    </row>
    <row r="1006" spans="5:32">
      <c r="E1006" s="157"/>
      <c r="F1006" s="157"/>
      <c r="H1006" s="158"/>
      <c r="I1006" s="158"/>
      <c r="R1006" s="161"/>
      <c r="S1006" s="161"/>
      <c r="V1006" s="162"/>
      <c r="W1006" s="162"/>
      <c r="AF1006" s="161"/>
    </row>
    <row r="1007" spans="5:32">
      <c r="E1007" s="157"/>
      <c r="F1007" s="157"/>
      <c r="I1007" s="158"/>
      <c r="S1007" s="161"/>
      <c r="V1007" s="162"/>
      <c r="W1007" s="162"/>
      <c r="AF1007" s="161"/>
    </row>
    <row r="1008" spans="5:32">
      <c r="E1008" s="157"/>
      <c r="F1008" s="157"/>
      <c r="I1008" s="158"/>
      <c r="S1008" s="161"/>
      <c r="V1008" s="162"/>
      <c r="W1008" s="162"/>
      <c r="AF1008" s="161"/>
    </row>
    <row r="1009" spans="5:32">
      <c r="E1009" s="157"/>
      <c r="F1009" s="157"/>
      <c r="I1009" s="158"/>
      <c r="S1009" s="161"/>
      <c r="V1009" s="162"/>
      <c r="W1009" s="162"/>
      <c r="AF1009" s="161"/>
    </row>
    <row r="1010" spans="5:32">
      <c r="E1010" s="157"/>
      <c r="F1010" s="157"/>
      <c r="I1010" s="158"/>
      <c r="S1010" s="161"/>
      <c r="V1010" s="162"/>
      <c r="W1010" s="162"/>
      <c r="AF1010" s="161"/>
    </row>
    <row r="1011" spans="5:32">
      <c r="E1011" s="157"/>
      <c r="F1011" s="157"/>
      <c r="I1011" s="158"/>
      <c r="S1011" s="161"/>
      <c r="V1011" s="162"/>
      <c r="W1011" s="162"/>
      <c r="AF1011" s="161"/>
    </row>
    <row r="1012" spans="5:32">
      <c r="E1012" s="157"/>
      <c r="F1012" s="157"/>
      <c r="H1012" s="158"/>
      <c r="I1012" s="158"/>
      <c r="R1012" s="161"/>
      <c r="S1012" s="161"/>
      <c r="V1012" s="162"/>
      <c r="W1012" s="162"/>
      <c r="AF1012" s="161"/>
    </row>
    <row r="1013" spans="5:32">
      <c r="E1013" s="157"/>
      <c r="F1013" s="157"/>
      <c r="H1013" s="158"/>
      <c r="I1013" s="158"/>
      <c r="R1013" s="161"/>
      <c r="S1013" s="161"/>
      <c r="V1013" s="162"/>
      <c r="W1013" s="162"/>
      <c r="AF1013" s="161"/>
    </row>
    <row r="1014" spans="5:32">
      <c r="E1014" s="157"/>
      <c r="F1014" s="157"/>
      <c r="H1014" s="158"/>
      <c r="I1014" s="158"/>
      <c r="R1014" s="161"/>
      <c r="S1014" s="161"/>
      <c r="V1014" s="162"/>
      <c r="W1014" s="162"/>
      <c r="AF1014" s="161"/>
    </row>
    <row r="1015" spans="5:32">
      <c r="E1015" s="157"/>
      <c r="F1015" s="157"/>
      <c r="H1015" s="158"/>
      <c r="I1015" s="158"/>
      <c r="R1015" s="161"/>
      <c r="S1015" s="161"/>
      <c r="V1015" s="162"/>
      <c r="W1015" s="162"/>
      <c r="AF1015" s="161"/>
    </row>
    <row r="1016" spans="5:32">
      <c r="E1016" s="157"/>
      <c r="F1016" s="157"/>
      <c r="H1016" s="158"/>
      <c r="I1016" s="158"/>
      <c r="R1016" s="161"/>
      <c r="S1016" s="161"/>
      <c r="V1016" s="162"/>
      <c r="W1016" s="162"/>
      <c r="AF1016" s="161"/>
    </row>
    <row r="1017" spans="5:32">
      <c r="E1017" s="157"/>
      <c r="F1017" s="157"/>
      <c r="H1017" s="158"/>
      <c r="I1017" s="158"/>
      <c r="R1017" s="161"/>
      <c r="S1017" s="161"/>
      <c r="V1017" s="162"/>
      <c r="W1017" s="162"/>
      <c r="AF1017" s="161"/>
    </row>
    <row r="1018" spans="5:32">
      <c r="E1018" s="157"/>
      <c r="F1018" s="157"/>
      <c r="H1018" s="158"/>
      <c r="I1018" s="158"/>
      <c r="R1018" s="161"/>
      <c r="S1018" s="161"/>
      <c r="V1018" s="162"/>
      <c r="W1018" s="162"/>
      <c r="AF1018" s="161"/>
    </row>
    <row r="1019" spans="5:32">
      <c r="E1019" s="157"/>
      <c r="F1019" s="157"/>
      <c r="H1019" s="158"/>
      <c r="I1019" s="158"/>
      <c r="R1019" s="161"/>
      <c r="S1019" s="161"/>
      <c r="V1019" s="162"/>
      <c r="W1019" s="162"/>
      <c r="AF1019" s="161"/>
    </row>
    <row r="1020" spans="5:32">
      <c r="E1020" s="157"/>
      <c r="F1020" s="157"/>
      <c r="H1020" s="158"/>
      <c r="I1020" s="158"/>
      <c r="R1020" s="161"/>
      <c r="S1020" s="161"/>
      <c r="V1020" s="162"/>
      <c r="W1020" s="162"/>
      <c r="AF1020" s="161"/>
    </row>
    <row r="1021" spans="5:32">
      <c r="E1021" s="157"/>
      <c r="F1021" s="157"/>
      <c r="H1021" s="158"/>
      <c r="I1021" s="158"/>
      <c r="R1021" s="161"/>
      <c r="S1021" s="161"/>
      <c r="V1021" s="162"/>
      <c r="W1021" s="162"/>
      <c r="AF1021" s="161"/>
    </row>
    <row r="1022" spans="5:32">
      <c r="E1022" s="157"/>
      <c r="F1022" s="157"/>
      <c r="H1022" s="158"/>
      <c r="I1022" s="158"/>
      <c r="R1022" s="161"/>
      <c r="S1022" s="161"/>
      <c r="V1022" s="162"/>
      <c r="W1022" s="162"/>
      <c r="AF1022" s="161"/>
    </row>
    <row r="1023" spans="5:32">
      <c r="E1023" s="157"/>
      <c r="F1023" s="157"/>
      <c r="H1023" s="158"/>
      <c r="I1023" s="158"/>
      <c r="R1023" s="161"/>
      <c r="S1023" s="161"/>
      <c r="V1023" s="162"/>
      <c r="W1023" s="162"/>
      <c r="AF1023" s="161"/>
    </row>
    <row r="1024" spans="5:32">
      <c r="E1024" s="157"/>
      <c r="F1024" s="157"/>
      <c r="H1024" s="158"/>
      <c r="I1024" s="158"/>
      <c r="R1024" s="161"/>
      <c r="S1024" s="161"/>
      <c r="V1024" s="162"/>
      <c r="W1024" s="162"/>
      <c r="AF1024" s="161"/>
    </row>
    <row r="1025" spans="5:42">
      <c r="E1025" s="157"/>
      <c r="F1025" s="157"/>
      <c r="H1025" s="158"/>
      <c r="I1025" s="158"/>
      <c r="R1025" s="161"/>
      <c r="S1025" s="161"/>
      <c r="V1025" s="162"/>
      <c r="W1025" s="162"/>
      <c r="AF1025" s="161"/>
    </row>
    <row r="1026" spans="5:42">
      <c r="E1026" s="157"/>
      <c r="F1026" s="157"/>
      <c r="H1026" s="158"/>
      <c r="I1026" s="158"/>
      <c r="R1026" s="161"/>
      <c r="S1026" s="161"/>
      <c r="V1026" s="162"/>
      <c r="W1026" s="162"/>
      <c r="AF1026" s="161"/>
    </row>
    <row r="1027" spans="5:42">
      <c r="E1027" s="157"/>
      <c r="F1027" s="157"/>
      <c r="H1027" s="158"/>
      <c r="I1027" s="158"/>
      <c r="R1027" s="161"/>
      <c r="S1027" s="161"/>
      <c r="V1027" s="162"/>
      <c r="W1027" s="162"/>
      <c r="AF1027" s="161"/>
    </row>
    <row r="1028" spans="5:42">
      <c r="E1028" s="157"/>
      <c r="F1028" s="157"/>
      <c r="H1028" s="158"/>
      <c r="I1028" s="158"/>
      <c r="R1028" s="161"/>
      <c r="S1028" s="161"/>
      <c r="V1028" s="162"/>
      <c r="W1028" s="162"/>
      <c r="AF1028" s="161"/>
    </row>
    <row r="1029" spans="5:42">
      <c r="E1029" s="157"/>
      <c r="F1029" s="157"/>
      <c r="H1029" s="158"/>
      <c r="I1029" s="158"/>
      <c r="R1029" s="161"/>
      <c r="S1029" s="161"/>
      <c r="V1029" s="162"/>
      <c r="W1029" s="162"/>
      <c r="AF1029" s="161"/>
    </row>
    <row r="1030" spans="5:42">
      <c r="E1030" s="157"/>
      <c r="F1030" s="157"/>
      <c r="H1030" s="158"/>
      <c r="I1030" s="158"/>
      <c r="R1030" s="161"/>
      <c r="S1030" s="161"/>
      <c r="V1030" s="162"/>
      <c r="W1030" s="162"/>
      <c r="AF1030" s="161"/>
    </row>
    <row r="1031" spans="5:42">
      <c r="E1031" s="157"/>
      <c r="F1031" s="157"/>
      <c r="H1031" s="158"/>
      <c r="I1031" s="158"/>
      <c r="R1031" s="161"/>
      <c r="S1031" s="161"/>
      <c r="V1031" s="162"/>
      <c r="W1031" s="162"/>
      <c r="AF1031" s="161"/>
    </row>
    <row r="1032" spans="5:42">
      <c r="E1032" s="157"/>
      <c r="F1032" s="157"/>
      <c r="H1032" s="158"/>
      <c r="I1032" s="158"/>
      <c r="R1032" s="161"/>
      <c r="S1032" s="161"/>
      <c r="V1032" s="162"/>
      <c r="W1032" s="162"/>
      <c r="AF1032" s="161"/>
    </row>
    <row r="1033" spans="5:42">
      <c r="E1033" s="157"/>
      <c r="F1033" s="157"/>
      <c r="H1033" s="158"/>
      <c r="I1033" s="158"/>
      <c r="R1033" s="161"/>
      <c r="S1033" s="161"/>
      <c r="V1033" s="162"/>
      <c r="W1033" s="162"/>
      <c r="AF1033" s="161"/>
    </row>
    <row r="1034" spans="5:42">
      <c r="E1034" s="157"/>
      <c r="F1034" s="157"/>
      <c r="H1034" s="158"/>
      <c r="I1034" s="158"/>
      <c r="R1034" s="161"/>
      <c r="S1034" s="161"/>
      <c r="V1034" s="162"/>
      <c r="W1034" s="162"/>
      <c r="AF1034" s="161"/>
    </row>
    <row r="1035" spans="5:42">
      <c r="E1035" s="157"/>
      <c r="F1035" s="157"/>
      <c r="G1035" s="161"/>
      <c r="H1035" s="158"/>
      <c r="I1035" s="158"/>
      <c r="J1035" s="161"/>
      <c r="K1035" s="161"/>
      <c r="N1035" s="161"/>
      <c r="O1035" s="161"/>
      <c r="P1035" s="161"/>
      <c r="Q1035" s="165"/>
      <c r="R1035" s="161"/>
      <c r="S1035" s="161"/>
      <c r="T1035" s="161"/>
      <c r="U1035" s="161"/>
      <c r="V1035" s="161"/>
      <c r="W1035" s="161"/>
      <c r="AF1035" s="161"/>
      <c r="AG1035" s="161"/>
      <c r="AH1035" s="161"/>
      <c r="AI1035" s="161"/>
      <c r="AJ1035" s="161"/>
      <c r="AL1035" s="161"/>
      <c r="AM1035" s="161"/>
      <c r="AN1035" s="161"/>
      <c r="AO1035" s="161"/>
      <c r="AP1035" s="161"/>
    </row>
    <row r="1036" spans="5:42">
      <c r="R1036" s="31"/>
      <c r="S1036" s="31"/>
      <c r="AF1036" s="31"/>
    </row>
    <row r="1037" spans="5:42">
      <c r="V1037" s="162"/>
      <c r="W1037" s="162"/>
    </row>
    <row r="1038" spans="5:42">
      <c r="V1038" s="162"/>
      <c r="W1038" s="162"/>
    </row>
    <row r="1039" spans="5:42">
      <c r="V1039" s="162"/>
      <c r="W1039" s="162"/>
    </row>
    <row r="1040" spans="5:42">
      <c r="V1040" s="162"/>
      <c r="W1040" s="162"/>
    </row>
    <row r="1041" spans="22:23">
      <c r="V1041" s="162"/>
      <c r="W1041" s="162"/>
    </row>
    <row r="1042" spans="22:23">
      <c r="V1042" s="162"/>
      <c r="W1042" s="162"/>
    </row>
    <row r="1043" spans="22:23">
      <c r="V1043" s="162"/>
      <c r="W1043" s="162"/>
    </row>
    <row r="1044" spans="22:23">
      <c r="V1044" s="162"/>
      <c r="W1044" s="162"/>
    </row>
    <row r="1045" spans="22:23">
      <c r="V1045" s="162"/>
      <c r="W1045" s="162"/>
    </row>
    <row r="1046" spans="22:23">
      <c r="V1046" s="162"/>
      <c r="W1046" s="162"/>
    </row>
    <row r="1047" spans="22:23">
      <c r="V1047" s="162"/>
      <c r="W1047" s="162"/>
    </row>
    <row r="1048" spans="22:23">
      <c r="V1048" s="162"/>
      <c r="W1048" s="162"/>
    </row>
    <row r="1049" spans="22:23">
      <c r="V1049" s="162"/>
      <c r="W1049" s="162"/>
    </row>
    <row r="1050" spans="22:23">
      <c r="V1050" s="162"/>
      <c r="W1050" s="162"/>
    </row>
    <row r="1051" spans="22:23">
      <c r="V1051" s="162"/>
      <c r="W1051" s="162"/>
    </row>
    <row r="1052" spans="22:23">
      <c r="V1052" s="162"/>
      <c r="W1052" s="162"/>
    </row>
    <row r="1053" spans="22:23">
      <c r="V1053" s="162"/>
      <c r="W1053" s="162"/>
    </row>
    <row r="1054" spans="22:23">
      <c r="V1054" s="162"/>
      <c r="W1054" s="162"/>
    </row>
    <row r="1055" spans="22:23">
      <c r="V1055" s="162"/>
      <c r="W1055" s="162"/>
    </row>
    <row r="1056" spans="22:23">
      <c r="V1056" s="162"/>
      <c r="W1056" s="162"/>
    </row>
    <row r="1057" spans="22:23">
      <c r="V1057" s="162"/>
      <c r="W1057" s="162"/>
    </row>
    <row r="1058" spans="22:23">
      <c r="V1058" s="162"/>
      <c r="W1058" s="162"/>
    </row>
    <row r="1059" spans="22:23">
      <c r="V1059" s="162"/>
      <c r="W1059" s="162"/>
    </row>
    <row r="1060" spans="22:23">
      <c r="V1060" s="162"/>
      <c r="W1060" s="162"/>
    </row>
    <row r="1061" spans="22:23">
      <c r="V1061" s="162"/>
      <c r="W1061" s="162"/>
    </row>
    <row r="1062" spans="22:23">
      <c r="V1062" s="162"/>
      <c r="W1062" s="162"/>
    </row>
    <row r="1063" spans="22:23">
      <c r="V1063" s="162"/>
      <c r="W1063" s="162"/>
    </row>
    <row r="1064" spans="22:23">
      <c r="V1064" s="162"/>
      <c r="W1064" s="162"/>
    </row>
    <row r="1065" spans="22:23">
      <c r="V1065" s="162"/>
      <c r="W1065" s="162"/>
    </row>
    <row r="1066" spans="22:23">
      <c r="V1066" s="162"/>
      <c r="W1066" s="162"/>
    </row>
    <row r="1067" spans="22:23">
      <c r="V1067" s="162"/>
      <c r="W1067" s="162"/>
    </row>
    <row r="1068" spans="22:23">
      <c r="V1068" s="162"/>
      <c r="W1068" s="162"/>
    </row>
    <row r="1069" spans="22:23">
      <c r="V1069" s="162"/>
      <c r="W1069" s="162"/>
    </row>
    <row r="1070" spans="22:23">
      <c r="V1070" s="162"/>
      <c r="W1070" s="162"/>
    </row>
    <row r="1071" spans="22:23">
      <c r="V1071" s="162"/>
      <c r="W1071" s="162"/>
    </row>
    <row r="1072" spans="22:23">
      <c r="V1072" s="162"/>
      <c r="W1072" s="162"/>
    </row>
    <row r="1073" spans="22:23">
      <c r="V1073" s="162"/>
      <c r="W1073" s="162"/>
    </row>
    <row r="1074" spans="22:23">
      <c r="V1074" s="162"/>
      <c r="W1074" s="162"/>
    </row>
    <row r="1075" spans="22:23">
      <c r="V1075" s="162"/>
      <c r="W1075" s="162"/>
    </row>
    <row r="1076" spans="22:23">
      <c r="V1076" s="162"/>
      <c r="W1076" s="162"/>
    </row>
    <row r="1077" spans="22:23">
      <c r="V1077" s="162"/>
      <c r="W1077" s="162"/>
    </row>
    <row r="1078" spans="22:23">
      <c r="V1078" s="162"/>
      <c r="W1078" s="162"/>
    </row>
    <row r="1079" spans="22:23">
      <c r="V1079" s="162"/>
      <c r="W1079" s="162"/>
    </row>
    <row r="1080" spans="22:23">
      <c r="V1080" s="162"/>
      <c r="W1080" s="162"/>
    </row>
    <row r="1081" spans="22:23">
      <c r="V1081" s="162"/>
      <c r="W1081" s="162"/>
    </row>
    <row r="1082" spans="22:23">
      <c r="V1082" s="162"/>
      <c r="W1082" s="162"/>
    </row>
    <row r="1083" spans="22:23">
      <c r="V1083" s="162"/>
      <c r="W1083" s="162"/>
    </row>
    <row r="1084" spans="22:23">
      <c r="V1084" s="162"/>
      <c r="W1084" s="162"/>
    </row>
    <row r="1085" spans="22:23">
      <c r="V1085" s="162"/>
      <c r="W1085" s="162"/>
    </row>
    <row r="1086" spans="22:23">
      <c r="V1086" s="162"/>
      <c r="W1086" s="162"/>
    </row>
    <row r="1087" spans="22:23">
      <c r="V1087" s="162"/>
      <c r="W1087" s="162"/>
    </row>
    <row r="1088" spans="22:23">
      <c r="V1088" s="162"/>
      <c r="W1088" s="162"/>
    </row>
    <row r="1089" spans="22:23">
      <c r="V1089" s="162"/>
      <c r="W1089" s="162"/>
    </row>
    <row r="1090" spans="22:23">
      <c r="V1090" s="162"/>
      <c r="W1090" s="162"/>
    </row>
    <row r="1091" spans="22:23">
      <c r="V1091" s="162"/>
      <c r="W1091" s="162"/>
    </row>
    <row r="1092" spans="22:23">
      <c r="V1092" s="162"/>
      <c r="W1092" s="162"/>
    </row>
    <row r="1093" spans="22:23">
      <c r="V1093" s="162"/>
      <c r="W1093" s="162"/>
    </row>
    <row r="1094" spans="22:23">
      <c r="V1094" s="162"/>
      <c r="W1094" s="162"/>
    </row>
    <row r="1095" spans="22:23">
      <c r="V1095" s="162"/>
      <c r="W1095" s="162"/>
    </row>
    <row r="1096" spans="22:23">
      <c r="V1096" s="162"/>
      <c r="W1096" s="162"/>
    </row>
    <row r="1097" spans="22:23">
      <c r="V1097" s="162"/>
      <c r="W1097" s="162"/>
    </row>
    <row r="1098" spans="22:23">
      <c r="V1098" s="162"/>
      <c r="W1098" s="162"/>
    </row>
    <row r="1099" spans="22:23">
      <c r="V1099" s="162"/>
      <c r="W1099" s="162"/>
    </row>
    <row r="1100" spans="22:23">
      <c r="V1100" s="162"/>
      <c r="W1100" s="162"/>
    </row>
    <row r="1101" spans="22:23">
      <c r="V1101" s="162"/>
      <c r="W1101" s="162"/>
    </row>
    <row r="1102" spans="22:23">
      <c r="V1102" s="162"/>
      <c r="W1102" s="162"/>
    </row>
    <row r="1103" spans="22:23">
      <c r="V1103" s="162"/>
      <c r="W1103" s="162"/>
    </row>
    <row r="1104" spans="22:23">
      <c r="V1104" s="162"/>
      <c r="W1104" s="162"/>
    </row>
    <row r="1105" spans="22:23">
      <c r="V1105" s="162"/>
      <c r="W1105" s="162"/>
    </row>
    <row r="1106" spans="22:23">
      <c r="V1106" s="162"/>
      <c r="W1106" s="162"/>
    </row>
    <row r="1107" spans="22:23">
      <c r="V1107" s="162"/>
      <c r="W1107" s="162"/>
    </row>
    <row r="1108" spans="22:23">
      <c r="V1108" s="162"/>
      <c r="W1108" s="162"/>
    </row>
    <row r="1109" spans="22:23">
      <c r="V1109" s="162"/>
      <c r="W1109" s="162"/>
    </row>
    <row r="1110" spans="22:23">
      <c r="V1110" s="162"/>
      <c r="W1110" s="162"/>
    </row>
    <row r="1111" spans="22:23">
      <c r="V1111" s="162"/>
      <c r="W1111" s="162"/>
    </row>
    <row r="1112" spans="22:23">
      <c r="V1112" s="162"/>
      <c r="W1112" s="162"/>
    </row>
    <row r="1113" spans="22:23">
      <c r="V1113" s="162"/>
      <c r="W1113" s="162"/>
    </row>
    <row r="1114" spans="22:23">
      <c r="V1114" s="162"/>
      <c r="W1114" s="162"/>
    </row>
    <row r="1115" spans="22:23">
      <c r="V1115" s="162"/>
      <c r="W1115" s="162"/>
    </row>
    <row r="1116" spans="22:23">
      <c r="V1116" s="162"/>
      <c r="W1116" s="162"/>
    </row>
    <row r="1117" spans="22:23">
      <c r="V1117" s="162"/>
      <c r="W1117" s="162"/>
    </row>
    <row r="1118" spans="22:23">
      <c r="V1118" s="162"/>
      <c r="W1118" s="162"/>
    </row>
    <row r="1119" spans="22:23">
      <c r="V1119" s="162"/>
      <c r="W1119" s="162"/>
    </row>
    <row r="1120" spans="22:23">
      <c r="V1120" s="162"/>
      <c r="W1120" s="162"/>
    </row>
    <row r="1121" spans="22:23">
      <c r="V1121" s="162"/>
      <c r="W1121" s="162"/>
    </row>
    <row r="1122" spans="22:23">
      <c r="V1122" s="162"/>
      <c r="W1122" s="162"/>
    </row>
    <row r="1123" spans="22:23">
      <c r="V1123" s="162"/>
      <c r="W1123" s="162"/>
    </row>
    <row r="1124" spans="22:23">
      <c r="V1124" s="162"/>
      <c r="W1124" s="162"/>
    </row>
    <row r="1125" spans="22:23">
      <c r="V1125" s="162"/>
      <c r="W1125" s="162"/>
    </row>
    <row r="1126" spans="22:23">
      <c r="V1126" s="162"/>
      <c r="W1126" s="162"/>
    </row>
    <row r="1127" spans="22:23">
      <c r="V1127" s="162"/>
      <c r="W1127" s="162"/>
    </row>
    <row r="1128" spans="22:23">
      <c r="V1128" s="162"/>
      <c r="W1128" s="162"/>
    </row>
    <row r="1129" spans="22:23">
      <c r="V1129" s="162"/>
      <c r="W1129" s="162"/>
    </row>
    <row r="1130" spans="22:23">
      <c r="V1130" s="162"/>
      <c r="W1130" s="162"/>
    </row>
    <row r="1131" spans="22:23">
      <c r="V1131" s="162"/>
      <c r="W1131" s="162"/>
    </row>
    <row r="1132" spans="22:23">
      <c r="V1132" s="162"/>
      <c r="W1132" s="162"/>
    </row>
    <row r="1133" spans="22:23">
      <c r="V1133" s="162"/>
      <c r="W1133" s="162"/>
    </row>
    <row r="1134" spans="22:23">
      <c r="V1134" s="162"/>
      <c r="W1134" s="162"/>
    </row>
    <row r="1135" spans="22:23">
      <c r="V1135" s="162"/>
      <c r="W1135" s="162"/>
    </row>
    <row r="1136" spans="22:23">
      <c r="V1136" s="162"/>
      <c r="W1136" s="162"/>
    </row>
    <row r="1137" spans="22:23">
      <c r="V1137" s="162"/>
      <c r="W1137" s="162"/>
    </row>
    <row r="1138" spans="22:23">
      <c r="V1138" s="162"/>
      <c r="W1138" s="162"/>
    </row>
    <row r="1139" spans="22:23">
      <c r="V1139" s="162"/>
      <c r="W1139" s="162"/>
    </row>
    <row r="1140" spans="22:23">
      <c r="V1140" s="162"/>
      <c r="W1140" s="162"/>
    </row>
    <row r="1141" spans="22:23">
      <c r="V1141" s="162"/>
      <c r="W1141" s="162"/>
    </row>
    <row r="1142" spans="22:23">
      <c r="V1142" s="162"/>
      <c r="W1142" s="162"/>
    </row>
    <row r="1143" spans="22:23">
      <c r="V1143" s="162"/>
      <c r="W1143" s="162"/>
    </row>
    <row r="1144" spans="22:23">
      <c r="V1144" s="162"/>
      <c r="W1144" s="162"/>
    </row>
    <row r="1145" spans="22:23">
      <c r="V1145" s="162"/>
      <c r="W1145" s="162"/>
    </row>
    <row r="1146" spans="22:23">
      <c r="V1146" s="162"/>
      <c r="W1146" s="162"/>
    </row>
    <row r="1147" spans="22:23">
      <c r="V1147" s="162"/>
      <c r="W1147" s="162"/>
    </row>
    <row r="1148" spans="22:23">
      <c r="V1148" s="162"/>
      <c r="W1148" s="162"/>
    </row>
    <row r="1149" spans="22:23">
      <c r="V1149" s="162"/>
      <c r="W1149" s="162"/>
    </row>
    <row r="1150" spans="22:23">
      <c r="V1150" s="162"/>
      <c r="W1150" s="162"/>
    </row>
    <row r="1151" spans="22:23">
      <c r="V1151" s="162"/>
      <c r="W1151" s="162"/>
    </row>
    <row r="1152" spans="22:23">
      <c r="V1152" s="162"/>
      <c r="W1152" s="162"/>
    </row>
    <row r="1153" spans="22:23">
      <c r="V1153" s="162"/>
      <c r="W1153" s="162"/>
    </row>
    <row r="1154" spans="22:23">
      <c r="V1154" s="162"/>
      <c r="W1154" s="162"/>
    </row>
    <row r="1155" spans="22:23">
      <c r="V1155" s="162"/>
      <c r="W1155" s="162"/>
    </row>
    <row r="1156" spans="22:23">
      <c r="V1156" s="162"/>
      <c r="W1156" s="162"/>
    </row>
    <row r="1157" spans="22:23">
      <c r="V1157" s="162"/>
      <c r="W1157" s="162"/>
    </row>
    <row r="1158" spans="22:23">
      <c r="V1158" s="162"/>
      <c r="W1158" s="162"/>
    </row>
    <row r="1159" spans="22:23">
      <c r="V1159" s="162"/>
      <c r="W1159" s="162"/>
    </row>
    <row r="1160" spans="22:23">
      <c r="V1160" s="162"/>
      <c r="W1160" s="162"/>
    </row>
    <row r="1161" spans="22:23">
      <c r="V1161" s="162"/>
      <c r="W1161" s="162"/>
    </row>
    <row r="1162" spans="22:23">
      <c r="V1162" s="162"/>
      <c r="W1162" s="162"/>
    </row>
    <row r="1163" spans="22:23">
      <c r="V1163" s="162"/>
      <c r="W1163" s="162"/>
    </row>
    <row r="1164" spans="22:23">
      <c r="V1164" s="162"/>
      <c r="W1164" s="162"/>
    </row>
    <row r="1165" spans="22:23">
      <c r="V1165" s="162"/>
      <c r="W1165" s="162"/>
    </row>
    <row r="1166" spans="22:23">
      <c r="V1166" s="162"/>
      <c r="W1166" s="162"/>
    </row>
    <row r="1167" spans="22:23">
      <c r="V1167" s="162"/>
      <c r="W1167" s="162"/>
    </row>
    <row r="1168" spans="22:23">
      <c r="V1168" s="162"/>
      <c r="W1168" s="162"/>
    </row>
    <row r="1169" spans="22:23">
      <c r="V1169" s="162"/>
      <c r="W1169" s="162"/>
    </row>
    <row r="1170" spans="22:23">
      <c r="V1170" s="162"/>
      <c r="W1170" s="162"/>
    </row>
    <row r="1171" spans="22:23">
      <c r="V1171" s="162"/>
      <c r="W1171" s="162"/>
    </row>
    <row r="1172" spans="22:23">
      <c r="V1172" s="162"/>
      <c r="W1172" s="162"/>
    </row>
    <row r="1173" spans="22:23">
      <c r="V1173" s="162"/>
      <c r="W1173" s="162"/>
    </row>
    <row r="1174" spans="22:23">
      <c r="V1174" s="162"/>
      <c r="W1174" s="162"/>
    </row>
    <row r="1175" spans="22:23">
      <c r="V1175" s="162"/>
      <c r="W1175" s="162"/>
    </row>
    <row r="1176" spans="22:23">
      <c r="V1176" s="162"/>
      <c r="W1176" s="162"/>
    </row>
    <row r="1177" spans="22:23">
      <c r="V1177" s="162"/>
      <c r="W1177" s="162"/>
    </row>
    <row r="1178" spans="22:23">
      <c r="V1178" s="162"/>
      <c r="W1178" s="162"/>
    </row>
    <row r="1179" spans="22:23">
      <c r="V1179" s="162"/>
      <c r="W1179" s="162"/>
    </row>
    <row r="1180" spans="22:23">
      <c r="V1180" s="162"/>
      <c r="W1180" s="162"/>
    </row>
    <row r="1181" spans="22:23">
      <c r="V1181" s="162"/>
      <c r="W1181" s="162"/>
    </row>
    <row r="1182" spans="22:23">
      <c r="V1182" s="162"/>
      <c r="W1182" s="162"/>
    </row>
    <row r="1183" spans="22:23">
      <c r="V1183" s="162"/>
      <c r="W1183" s="162"/>
    </row>
    <row r="1184" spans="22:23">
      <c r="V1184" s="162"/>
      <c r="W1184" s="162"/>
    </row>
    <row r="1185" spans="22:23">
      <c r="V1185" s="162"/>
      <c r="W1185" s="162"/>
    </row>
    <row r="1186" spans="22:23">
      <c r="V1186" s="162"/>
      <c r="W1186" s="162"/>
    </row>
    <row r="1187" spans="22:23">
      <c r="V1187" s="162"/>
      <c r="W1187" s="162"/>
    </row>
    <row r="1188" spans="22:23">
      <c r="V1188" s="162"/>
      <c r="W1188" s="162"/>
    </row>
    <row r="1189" spans="22:23">
      <c r="V1189" s="162"/>
      <c r="W1189" s="162"/>
    </row>
    <row r="1190" spans="22:23">
      <c r="V1190" s="162"/>
      <c r="W1190" s="162"/>
    </row>
    <row r="1191" spans="22:23">
      <c r="V1191" s="162"/>
      <c r="W1191" s="162"/>
    </row>
    <row r="1192" spans="22:23">
      <c r="V1192" s="162"/>
      <c r="W1192" s="162"/>
    </row>
    <row r="1193" spans="22:23">
      <c r="V1193" s="162"/>
      <c r="W1193" s="162"/>
    </row>
    <row r="1194" spans="22:23">
      <c r="V1194" s="162"/>
      <c r="W1194" s="162"/>
    </row>
    <row r="1195" spans="22:23">
      <c r="V1195" s="162"/>
      <c r="W1195" s="162"/>
    </row>
  </sheetData>
  <autoFilter ref="A6:DS54">
    <filterColumn colId="20"/>
    <filterColumn colId="24"/>
  </autoFilter>
  <mergeCells count="115">
    <mergeCell ref="DB4:DB5"/>
    <mergeCell ref="DC4:DC5"/>
    <mergeCell ref="DD4:DJ4"/>
    <mergeCell ref="DK4:DQ4"/>
    <mergeCell ref="U4:U5"/>
    <mergeCell ref="Y4:Y5"/>
    <mergeCell ref="AG4:AH4"/>
    <mergeCell ref="AX4:AX5"/>
    <mergeCell ref="AY4:AY5"/>
    <mergeCell ref="CR4:CR5"/>
    <mergeCell ref="CS4:CS5"/>
    <mergeCell ref="CT4:CT5"/>
    <mergeCell ref="BM3:BM5"/>
    <mergeCell ref="BN3:BN5"/>
    <mergeCell ref="BE2:BE5"/>
    <mergeCell ref="BF2:BF5"/>
    <mergeCell ref="BG2:BG5"/>
    <mergeCell ref="BH2:BH5"/>
    <mergeCell ref="BI2:BK4"/>
    <mergeCell ref="BL2:BN2"/>
    <mergeCell ref="AW2:AY2"/>
    <mergeCell ref="AZ2:AZ5"/>
    <mergeCell ref="BA2:BA5"/>
    <mergeCell ref="BB2:BB5"/>
    <mergeCell ref="DD3:DQ3"/>
    <mergeCell ref="DR3:DS4"/>
    <mergeCell ref="R4:S4"/>
    <mergeCell ref="T4:T5"/>
    <mergeCell ref="V4:W4"/>
    <mergeCell ref="X4:X5"/>
    <mergeCell ref="Z4:AA4"/>
    <mergeCell ref="AB4:AB5"/>
    <mergeCell ref="AC4:AD4"/>
    <mergeCell ref="AF4:AF5"/>
    <mergeCell ref="BS3:BS5"/>
    <mergeCell ref="BT3:BT5"/>
    <mergeCell ref="CL3:CN4"/>
    <mergeCell ref="CO3:CQ4"/>
    <mergeCell ref="DA3:DA5"/>
    <mergeCell ref="DB3:DC3"/>
    <mergeCell ref="CU4:CU5"/>
    <mergeCell ref="CV4:CV5"/>
    <mergeCell ref="CW4:CW5"/>
    <mergeCell ref="CX4:CX5"/>
    <mergeCell ref="AJ3:AJ5"/>
    <mergeCell ref="AW3:AW5"/>
    <mergeCell ref="AX3:AY3"/>
    <mergeCell ref="BL3:BL5"/>
    <mergeCell ref="DA2:DS2"/>
    <mergeCell ref="L3:L5"/>
    <mergeCell ref="M3:M5"/>
    <mergeCell ref="N3:N5"/>
    <mergeCell ref="O3:O5"/>
    <mergeCell ref="P3:P5"/>
    <mergeCell ref="Q3:Q5"/>
    <mergeCell ref="R3:S3"/>
    <mergeCell ref="T3:W3"/>
    <mergeCell ref="X3:AA3"/>
    <mergeCell ref="CI2:CJ4"/>
    <mergeCell ref="CK2:CK5"/>
    <mergeCell ref="CL2:CQ2"/>
    <mergeCell ref="CR2:CU3"/>
    <mergeCell ref="CV2:CY3"/>
    <mergeCell ref="CZ2:CZ5"/>
    <mergeCell ref="CY4:CY5"/>
    <mergeCell ref="BZ2:BZ5"/>
    <mergeCell ref="CA2:CB4"/>
    <mergeCell ref="CC2:CC5"/>
    <mergeCell ref="CD2:CD5"/>
    <mergeCell ref="CE2:CF4"/>
    <mergeCell ref="CG2:CH4"/>
    <mergeCell ref="BO2:BQ2"/>
    <mergeCell ref="BR2:BT2"/>
    <mergeCell ref="BU2:BV3"/>
    <mergeCell ref="BW2:BW5"/>
    <mergeCell ref="BX2:BX5"/>
    <mergeCell ref="BY2:BY5"/>
    <mergeCell ref="BO3:BO5"/>
    <mergeCell ref="BP3:BP5"/>
    <mergeCell ref="BQ3:BQ5"/>
    <mergeCell ref="BR3:BR5"/>
    <mergeCell ref="AS2:AS5"/>
    <mergeCell ref="AT2:AT5"/>
    <mergeCell ref="AU2:AU5"/>
    <mergeCell ref="AV2:AV5"/>
    <mergeCell ref="AK2:AK5"/>
    <mergeCell ref="AL2:AL5"/>
    <mergeCell ref="AM2:AM5"/>
    <mergeCell ref="AN2:AN5"/>
    <mergeCell ref="AO2:AO5"/>
    <mergeCell ref="AP2:AP5"/>
    <mergeCell ref="CR1:DS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  <mergeCell ref="K2:K5"/>
    <mergeCell ref="L2:M2"/>
    <mergeCell ref="N2:Q2"/>
    <mergeCell ref="R2:AD2"/>
    <mergeCell ref="AE2:AJ2"/>
    <mergeCell ref="AB3:AD3"/>
    <mergeCell ref="AE3:AE5"/>
    <mergeCell ref="AF3:AH3"/>
    <mergeCell ref="AI3:AI5"/>
    <mergeCell ref="BC2:BC5"/>
    <mergeCell ref="BD2:BD5"/>
    <mergeCell ref="AQ2:AQ5"/>
    <mergeCell ref="AR2:AR5"/>
  </mergeCells>
  <pageMargins left="0.43307086614173229" right="0.23622047244094491" top="0.82677165354330717" bottom="0.86614173228346458" header="0.19685039370078741" footer="0.27559055118110237"/>
  <pageSetup paperSize="9" scale="70" orientation="portrait" horizontalDpi="300" verticalDpi="300" r:id="rId1"/>
  <headerFooter alignWithMargins="0">
    <oddFooter>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sv</vt:lpstr>
      <vt:lpstr>sv (для О.Б.)</vt:lpstr>
      <vt:lpstr>sv!Заголовки_для_печати</vt:lpstr>
      <vt:lpstr>'sv (для О.Б.)'!Заголовки_для_печати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JT209-1</cp:lastModifiedBy>
  <cp:lastPrinted>2018-06-21T07:30:53Z</cp:lastPrinted>
  <dcterms:created xsi:type="dcterms:W3CDTF">2002-12-06T08:51:45Z</dcterms:created>
  <dcterms:modified xsi:type="dcterms:W3CDTF">2019-03-21T05:01:54Z</dcterms:modified>
</cp:coreProperties>
</file>