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6660" windowHeight="10515" activeTab="0"/>
  </bookViews>
  <sheets>
    <sheet name="2014" sheetId="1" r:id="rId1"/>
    <sheet name="Лист1" sheetId="2" r:id="rId2"/>
  </sheets>
  <definedNames>
    <definedName name="_xlnm.Print_Titles" localSheetId="0">'2014'!$B:$C,'2014'!$2:$5</definedName>
  </definedNames>
  <calcPr fullCalcOnLoad="1"/>
</workbook>
</file>

<file path=xl/sharedStrings.xml><?xml version="1.0" encoding="utf-8"?>
<sst xmlns="http://schemas.openxmlformats.org/spreadsheetml/2006/main" count="535" uniqueCount="269">
  <si>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</si>
  <si>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</si>
  <si>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</si>
  <si>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</si>
  <si>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</si>
  <si>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</si>
  <si>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</si>
  <si>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</si>
  <si>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</si>
  <si>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</si>
  <si>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</si>
  <si>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</si>
  <si>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</si>
  <si>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</si>
  <si>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</si>
  <si>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</si>
  <si>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</si>
  <si>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</si>
  <si>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</si>
  <si>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</si>
  <si>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</si>
  <si>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</si>
  <si>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</si>
  <si>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</si>
  <si>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</si>
  <si>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</si>
  <si>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</si>
  <si>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</si>
  <si>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</si>
  <si>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111-84</t>
  </si>
  <si>
    <t>111-112</t>
  </si>
  <si>
    <t>сталинка</t>
  </si>
  <si>
    <r>
      <t>межэтажные лестничные клетки, м</t>
    </r>
    <r>
      <rPr>
        <vertAlign val="superscript"/>
        <sz val="10"/>
        <rFont val="Times New Roman"/>
        <family val="1"/>
      </rPr>
      <t>2</t>
    </r>
  </si>
  <si>
    <r>
      <t>лестницы, м</t>
    </r>
    <r>
      <rPr>
        <vertAlign val="superscript"/>
        <sz val="10"/>
        <rFont val="Times New Roman"/>
        <family val="1"/>
      </rPr>
      <t>2</t>
    </r>
  </si>
  <si>
    <r>
      <t>коридоры, м</t>
    </r>
    <r>
      <rPr>
        <vertAlign val="superscript"/>
        <sz val="10"/>
        <rFont val="Times New Roman"/>
        <family val="1"/>
      </rPr>
      <t>2</t>
    </r>
  </si>
  <si>
    <t>50 лет Октября 2</t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</si>
  <si>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</si>
  <si>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</si>
  <si>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</si>
  <si>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</si>
  <si>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</si>
  <si>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</si>
  <si>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</si>
  <si>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</si>
  <si>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</si>
  <si>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</si>
  <si>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</si>
  <si>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</si>
  <si>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</si>
  <si>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</si>
  <si>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</si>
  <si>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в т.ч. оплачиваемая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</si>
  <si>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</si>
  <si>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</si>
  <si>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</si>
  <si>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</si>
  <si>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</si>
  <si>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</si>
  <si>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</si>
  <si>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</si>
  <si>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</si>
  <si>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</si>
  <si>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</si>
  <si>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</si>
  <si>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</si>
  <si>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</si>
  <si>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</si>
  <si>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</si>
  <si>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</si>
  <si>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</si>
  <si>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</si>
  <si>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</si>
  <si>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</si>
  <si>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</si>
  <si>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</si>
  <si>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</si>
  <si>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Инвентарный №</t>
  </si>
  <si>
    <t>Балансовая стоимость, тыс.руб.</t>
  </si>
  <si>
    <t>Сумма износа, тыс.руб.</t>
  </si>
  <si>
    <t>Остаточная стоимость, тыс.руб.</t>
  </si>
  <si>
    <t>% износа</t>
  </si>
  <si>
    <t>ОБЩЕДОМОВЫЕ ПРИБОРЫ УЧЕТА, ЕД.</t>
  </si>
  <si>
    <t>электроэнергии</t>
  </si>
  <si>
    <t>теплоэнергии</t>
  </si>
  <si>
    <t>холодной воды</t>
  </si>
  <si>
    <t>квартиросъемщиков, чел.</t>
  </si>
  <si>
    <t>ПЛОЩАДЬ ВСЕГО ПО ДОМУ (ЖИЛАЯ+НЕЖИЛАЯ), КВ.М</t>
  </si>
  <si>
    <t>ж/д</t>
  </si>
  <si>
    <t>Подразделение</t>
  </si>
  <si>
    <t>Советская 8</t>
  </si>
  <si>
    <t>Лауреатов 75-дгт</t>
  </si>
  <si>
    <t>Лауреатов 77-дгт</t>
  </si>
  <si>
    <t>Лауреатов 81-дгт</t>
  </si>
  <si>
    <t>Молодежный 21-дгт</t>
  </si>
  <si>
    <t>Бегичева 39а-дгт</t>
  </si>
  <si>
    <t>Лауреатов 23-дгт</t>
  </si>
  <si>
    <t>Московская 31-дгт</t>
  </si>
  <si>
    <t>Комсомольская 1а</t>
  </si>
  <si>
    <t>Комсомольская 4</t>
  </si>
  <si>
    <t>Комсомольская 7</t>
  </si>
  <si>
    <t>Комсомольская 7a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</si>
  <si>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</si>
  <si>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</si>
  <si>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</si>
  <si>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</si>
  <si>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</si>
  <si>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</si>
  <si>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</si>
  <si>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</si>
  <si>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</si>
  <si>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20</t>
  </si>
  <si>
    <t>Комсомольская 22</t>
  </si>
  <si>
    <t>Комсомольская 23</t>
  </si>
  <si>
    <t>Комсомольская 27</t>
  </si>
  <si>
    <t>Набережная 37</t>
  </si>
  <si>
    <t>Набережная 39</t>
  </si>
  <si>
    <t>Набережная 41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</si>
  <si>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</si>
  <si>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</si>
  <si>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</si>
  <si>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</si>
  <si>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</si>
  <si>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</si>
  <si>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</si>
  <si>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</si>
  <si>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</si>
  <si>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</si>
  <si>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</si>
  <si>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</si>
  <si>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</si>
  <si>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Лауреатов 31-общ</t>
  </si>
  <si>
    <t>Металлургов 19-общ</t>
  </si>
  <si>
    <t>Котульского 6-общ</t>
  </si>
  <si>
    <t>Орджоникидзе 19-общ</t>
  </si>
  <si>
    <t>Молодежный 11-общ</t>
  </si>
  <si>
    <t>Михайличенко 6-общ</t>
  </si>
  <si>
    <t>Молодежный 1-общ</t>
  </si>
  <si>
    <t>Молодежный 5-общ</t>
  </si>
  <si>
    <t>Талнахская 67-общ</t>
  </si>
  <si>
    <t>Металлургов 25-общ</t>
  </si>
  <si>
    <t>Молодежный 25-общ</t>
  </si>
  <si>
    <t>Металлургов 29-общ</t>
  </si>
  <si>
    <t>Севастопольская 13-общ</t>
  </si>
  <si>
    <t>Молодежный 15-общ</t>
  </si>
  <si>
    <t>Ленинский 46-общ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</si>
  <si>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</si>
  <si>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</si>
  <si>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</si>
  <si>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</si>
  <si>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</si>
  <si>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В АРЕНДЕ</t>
  </si>
  <si>
    <t>НЕЖИЛЫЕ ПОМЕЩЕНИЯ, КВ.М</t>
  </si>
  <si>
    <t>ВСЕГО (муниц.+ частная)</t>
  </si>
  <si>
    <t>Внутриквартирные трубопроводы, п.м.</t>
  </si>
  <si>
    <t>1-447с</t>
  </si>
  <si>
    <t>общ</t>
  </si>
  <si>
    <t>1-464-82д</t>
  </si>
  <si>
    <t>к-69</t>
  </si>
  <si>
    <t>нк-12</t>
  </si>
  <si>
    <t>дгт</t>
  </si>
  <si>
    <t>горячей воды</t>
  </si>
  <si>
    <t>50 лет Октября 1 /Ленинский 1</t>
  </si>
  <si>
    <t>смешанные дома</t>
  </si>
  <si>
    <t>смеш</t>
  </si>
  <si>
    <t>Комсомольская 25</t>
  </si>
  <si>
    <t>Набережная 33</t>
  </si>
  <si>
    <t>Набережная 45</t>
  </si>
  <si>
    <t>Комсомольская 3</t>
  </si>
  <si>
    <t>Набережная 49</t>
  </si>
  <si>
    <t>Комсомольская 17</t>
  </si>
  <si>
    <t>ОБЩЕЖИТИЯ всего, в т.ч.:</t>
  </si>
  <si>
    <t xml:space="preserve"> - 5-этажные (общего типа)</t>
  </si>
  <si>
    <t xml:space="preserve"> - 9-этажные (квартирного типа)</t>
  </si>
  <si>
    <t>ВСЕГО ж.д+общ.</t>
  </si>
  <si>
    <t>ПОМЕЩЕНИЯ, ВХОДЯЩИЕ В СОСТАВ ОБЩЕГО ИМУЩЕСТВА МКД, КВ.М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</si>
  <si>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</si>
  <si>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</si>
  <si>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</si>
  <si>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</si>
  <si>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</si>
  <si>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</si>
  <si>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</si>
  <si>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</si>
  <si>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иные помещения</t>
  </si>
  <si>
    <t>ИТОГО</t>
  </si>
  <si>
    <t>кол-во МКД, ед.</t>
  </si>
  <si>
    <t>длина трубопроводов, п.м</t>
  </si>
  <si>
    <r>
      <rPr>
        <b/>
        <sz val="10"/>
        <rFont val="Times New Roman"/>
        <family val="1"/>
      </rPr>
      <t>АИТП</t>
    </r>
    <r>
      <rPr>
        <sz val="10"/>
        <rFont val="Times New Roman"/>
        <family val="1"/>
      </rPr>
      <t xml:space="preserve"> (автоматизированный индивидуальный тепловой пункт), ед.</t>
    </r>
  </si>
  <si>
    <t>ООО "Жилищный трест"</t>
  </si>
  <si>
    <t>Информация по состоянию на 01.12.12г. по МКД, расположенному по адресу пр-т Ленинский 46</t>
  </si>
  <si>
    <t>управляющая организация</t>
  </si>
  <si>
    <t>ООО "Объединение Коммунальников №1"</t>
  </si>
  <si>
    <t>подъездов, ед.</t>
  </si>
  <si>
    <t>в своем хозяйстве</t>
  </si>
  <si>
    <t>частная собственность</t>
  </si>
  <si>
    <t>ПЛОЩАДЬ ВСЕГО ПО ДОМУ (жилая+ нежилая), кв.м</t>
  </si>
  <si>
    <t>количество</t>
  </si>
  <si>
    <t>в том числе</t>
  </si>
  <si>
    <t>кап.р., реконструкция</t>
  </si>
  <si>
    <t>под аренду</t>
  </si>
  <si>
    <t>Характеристика жилищного фонда, обслуживаемого ООО "Жилищный трест", по состоянию  на 01.01.2014г.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</si>
  <si>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</rPr>
      <t>2</t>
    </r>
  </si>
  <si>
    <r>
      <t>площадь придомовой территории, м</t>
    </r>
    <r>
      <rPr>
        <vertAlign val="superscript"/>
        <sz val="10"/>
        <rFont val="Times New Roman"/>
        <family val="1"/>
      </rPr>
      <t>2</t>
    </r>
  </si>
  <si>
    <r>
      <t xml:space="preserve">МКД с </t>
    </r>
    <r>
      <rPr>
        <u val="single"/>
        <sz val="10"/>
        <rFont val="Times New Roman"/>
        <family val="1"/>
      </rPr>
      <t>МЕДНЫМИ</t>
    </r>
    <r>
      <rPr>
        <sz val="10"/>
        <rFont val="Times New Roman"/>
        <family val="1"/>
      </rPr>
      <t xml:space="preserve"> внутриквартирными трубопроводами</t>
    </r>
  </si>
  <si>
    <r>
      <t xml:space="preserve">МКД со </t>
    </r>
    <r>
      <rPr>
        <u val="single"/>
        <sz val="10"/>
        <rFont val="Times New Roman"/>
        <family val="1"/>
      </rPr>
      <t>СТАЛЬНЫМИ</t>
    </r>
    <r>
      <rPr>
        <sz val="10"/>
        <rFont val="Times New Roman"/>
        <family val="1"/>
      </rPr>
      <t xml:space="preserve"> внутриквартирными трубопроводами</t>
    </r>
  </si>
  <si>
    <r>
      <t>общая площадь, м</t>
    </r>
    <r>
      <rPr>
        <vertAlign val="superscript"/>
        <sz val="10"/>
        <rFont val="Times New Roman"/>
        <family val="1"/>
      </rPr>
      <t>2</t>
    </r>
  </si>
  <si>
    <r>
      <t>жилая площадь, м</t>
    </r>
    <r>
      <rPr>
        <vertAlign val="superscript"/>
        <sz val="10"/>
        <rFont val="Times New Roman"/>
        <family val="1"/>
      </rPr>
      <t>2</t>
    </r>
  </si>
  <si>
    <t>Кадастровый номер земельного участка</t>
  </si>
  <si>
    <t>9.1</t>
  </si>
  <si>
    <t>24:55:0402014:41</t>
  </si>
  <si>
    <t>24:55:0402022:18</t>
  </si>
  <si>
    <t>24:55:0402015:76</t>
  </si>
  <si>
    <t>24:55:0402015:77/            24:55:0402015:78</t>
  </si>
  <si>
    <t>24:55:0402014:51</t>
  </si>
  <si>
    <t>24:55:0402015:79</t>
  </si>
  <si>
    <t>24:55:0402015:80</t>
  </si>
  <si>
    <t>24:55:0402014:52</t>
  </si>
  <si>
    <t>24:55:0402015:81</t>
  </si>
  <si>
    <t>24:55:0402014:48</t>
  </si>
  <si>
    <t>24:55:0402015:82</t>
  </si>
  <si>
    <t>24:55:0402014:49</t>
  </si>
  <si>
    <t>24:55:0402014:54</t>
  </si>
  <si>
    <t>24:55:0402015:83</t>
  </si>
  <si>
    <t>24:55:0402015:84; 24:55:0402015:85; 24:55:0402015:86</t>
  </si>
  <si>
    <t>24:55:0402014:56</t>
  </si>
  <si>
    <t>24:55:0402015:87</t>
  </si>
  <si>
    <t>24:55:0402014:42</t>
  </si>
  <si>
    <t>24:55:0402014:50</t>
  </si>
  <si>
    <t>24:55:0402015:88</t>
  </si>
  <si>
    <t>24:55:0402015:89</t>
  </si>
  <si>
    <t>24:55:0402015:90</t>
  </si>
  <si>
    <t>24:55:0402014:57</t>
  </si>
  <si>
    <t>24:55:0402014:43</t>
  </si>
  <si>
    <t>24:55:0402014:47</t>
  </si>
  <si>
    <t>24:55:0402014:45</t>
  </si>
  <si>
    <t>24:55:0402014:55</t>
  </si>
  <si>
    <t>24:55:0402014:46</t>
  </si>
  <si>
    <t>24:55:0402014:58</t>
  </si>
  <si>
    <t>24:55:0402015:96</t>
  </si>
  <si>
    <t>24:55:0402015:91</t>
  </si>
  <si>
    <t>24:55:0402015:92</t>
  </si>
  <si>
    <t>24:55:0402015:93</t>
  </si>
  <si>
    <t>24:55:0402015:94</t>
  </si>
  <si>
    <t>24:55:0402015:95</t>
  </si>
  <si>
    <t>24:55:0402014:40</t>
  </si>
  <si>
    <t>24:55:0402014:53</t>
  </si>
  <si>
    <t>24:55:0402014:44</t>
  </si>
  <si>
    <t>24:55:0402001:130</t>
  </si>
  <si>
    <t>24:55:0402010:82</t>
  </si>
  <si>
    <t>24:55:0402006:54</t>
  </si>
  <si>
    <t>24:55:0402006:55</t>
  </si>
  <si>
    <t>24:55:0402006:56</t>
  </si>
  <si>
    <t>24:55:0402016:216</t>
  </si>
  <si>
    <t>24:55:0402008:74</t>
  </si>
  <si>
    <t>24:55:0402001:134</t>
  </si>
  <si>
    <t>24:55:0402010:174</t>
  </si>
  <si>
    <t>24:55:0402005:105</t>
  </si>
  <si>
    <t>24:55:0402001:144</t>
  </si>
  <si>
    <t>24:55:0402001:146</t>
  </si>
  <si>
    <t>24:55:0402001:169</t>
  </si>
  <si>
    <t>24:55:0402006:61</t>
  </si>
  <si>
    <t>24:55:0402016:213</t>
  </si>
  <si>
    <t>24:55:0402016:214</t>
  </si>
  <si>
    <t>24:55:0402016:268</t>
  </si>
  <si>
    <t>24:55:0402016:267</t>
  </si>
  <si>
    <t>24:55:0402016:218</t>
  </si>
  <si>
    <t>24:55:0402002:89</t>
  </si>
  <si>
    <t>24:55:0402012:68</t>
  </si>
  <si>
    <t>24:55:0402005:124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</si>
</sst>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_-* #,##0\ _р_._-;\-* #,##0\ _р_._-;_-* &quot;-&quot;\ _р_._-;_-@_-"/>
    <numFmt numFmtId="168" formatCode="0.0"/>
  </numFmts>
  <fonts count="18">
    <font>
      <sz val="10"/>
      <name val="Times New Roman"/>
      <family val="0"/>
    </font>
    <font>
      <sz val="10"/>
      <name val="Arial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21"/>
      <name val="Times New Roman"/>
      <family val="1"/>
    </font>
    <font>
      <sz val="10"/>
      <color indexed="6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9" tint="-0.4999699890613556"/>
      <name val="Times New Roman"/>
      <family val="1"/>
    </font>
    <font>
      <sz val="10"/>
      <color theme="8" tint="-0.499969989061355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17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15" applyNumberFormat="1" applyFont="1" applyFill="1" applyBorder="1" applyAlignment="1" applyProtection="1">
      <alignment horizontal="left" vertical="center"/>
      <protection locked="0"/>
    </xf>
    <xf numFmtId="3" fontId="0" fillId="0" borderId="1" xfId="15" applyNumberFormat="1" applyFont="1" applyFill="1" applyBorder="1" applyAlignment="1">
      <alignment horizontal="right" vertical="center"/>
      <protection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15" applyNumberFormat="1" applyFont="1" applyFill="1" applyAlignment="1">
      <alignment vertical="center"/>
      <protection/>
    </xf>
    <xf numFmtId="3" fontId="0" fillId="0" borderId="1" xfId="17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17" applyNumberFormat="1" applyFont="1" applyFill="1" applyBorder="1" applyAlignment="1">
      <alignment vertical="center"/>
    </xf>
    <xf numFmtId="0" fontId="0" fillId="0" borderId="0" xfId="17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16" applyNumberFormat="1" applyFont="1" applyFill="1" applyBorder="1" applyAlignment="1" applyProtection="1">
      <alignment horizontal="left" vertical="center"/>
      <protection locked="0"/>
    </xf>
    <xf numFmtId="0" fontId="3" fillId="0" borderId="0" xfId="17" applyNumberFormat="1" applyFont="1" applyFill="1" applyBorder="1" applyAlignment="1">
      <alignment vertical="center"/>
    </xf>
    <xf numFmtId="0" fontId="3" fillId="0" borderId="0" xfId="17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17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17" applyNumberFormat="1" applyFont="1" applyFill="1" applyAlignment="1" applyProtection="1">
      <alignment vertical="center"/>
      <protection locked="0"/>
    </xf>
    <xf numFmtId="0" fontId="0" fillId="0" borderId="0" xfId="17" applyNumberFormat="1" applyFont="1" applyFill="1" applyAlignment="1">
      <alignment vertical="center"/>
    </xf>
    <xf numFmtId="3" fontId="0" fillId="0" borderId="0" xfId="17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6" fontId="0" fillId="0" borderId="1" xfId="17" applyNumberFormat="1" applyFont="1" applyFill="1" applyBorder="1" applyAlignment="1" applyProtection="1">
      <alignment horizontal="right" vertical="center"/>
      <protection locked="0"/>
    </xf>
    <xf numFmtId="166" fontId="0" fillId="0" borderId="1" xfId="15" applyNumberFormat="1" applyFont="1" applyFill="1" applyBorder="1" applyAlignment="1">
      <alignment horizontal="right" vertical="center"/>
      <protection/>
    </xf>
    <xf numFmtId="166" fontId="0" fillId="0" borderId="1" xfId="17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1" xfId="1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15" applyNumberFormat="1" applyFont="1" applyFill="1" applyAlignment="1">
      <alignment vertical="center"/>
      <protection/>
    </xf>
    <xf numFmtId="3" fontId="0" fillId="0" borderId="1" xfId="0" applyNumberFormat="1" applyFont="1" applyFill="1" applyBorder="1" applyAlignment="1">
      <alignment horizontal="right" vertical="center"/>
    </xf>
    <xf numFmtId="3" fontId="3" fillId="0" borderId="0" xfId="17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" xfId="15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>
      <alignment vertical="center"/>
    </xf>
    <xf numFmtId="0" fontId="16" fillId="0" borderId="1" xfId="15" applyNumberFormat="1" applyFont="1" applyFill="1" applyBorder="1" applyAlignment="1" applyProtection="1">
      <alignment horizontal="left" vertical="center"/>
      <protection locked="0"/>
    </xf>
    <xf numFmtId="0" fontId="16" fillId="0" borderId="0" xfId="15" applyNumberFormat="1" applyFont="1" applyFill="1" applyAlignment="1">
      <alignment vertical="center"/>
      <protection/>
    </xf>
    <xf numFmtId="0" fontId="16" fillId="0" borderId="0" xfId="0" applyNumberFormat="1" applyFont="1" applyFill="1" applyAlignment="1">
      <alignment vertical="center"/>
    </xf>
    <xf numFmtId="3" fontId="0" fillId="0" borderId="0" xfId="15" applyNumberFormat="1" applyFont="1" applyFill="1" applyAlignment="1">
      <alignment vertical="center"/>
      <protection/>
    </xf>
    <xf numFmtId="3" fontId="0" fillId="0" borderId="0" xfId="15" applyNumberFormat="1" applyFont="1" applyFill="1" applyAlignment="1">
      <alignment horizontal="right" vertical="center"/>
      <protection/>
    </xf>
    <xf numFmtId="3" fontId="0" fillId="0" borderId="1" xfId="15" applyNumberFormat="1" applyFont="1" applyFill="1" applyBorder="1" applyAlignment="1">
      <alignment vertical="center"/>
      <protection/>
    </xf>
    <xf numFmtId="3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0" fontId="3" fillId="0" borderId="0" xfId="15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>
      <alignment vertical="center"/>
    </xf>
    <xf numFmtId="166" fontId="10" fillId="0" borderId="1" xfId="21" applyNumberFormat="1" applyFont="1" applyFill="1" applyBorder="1" applyAlignment="1" applyProtection="1">
      <alignment horizontal="right" vertical="center"/>
      <protection locked="0"/>
    </xf>
    <xf numFmtId="168" fontId="11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3" fontId="10" fillId="0" borderId="1" xfId="17" applyNumberFormat="1" applyFont="1" applyFill="1" applyBorder="1" applyAlignment="1">
      <alignment horizontal="right" vertical="center"/>
    </xf>
    <xf numFmtId="166" fontId="0" fillId="0" borderId="1" xfId="21" applyNumberFormat="1" applyFont="1" applyFill="1" applyBorder="1" applyAlignment="1">
      <alignment horizontal="right" vertical="center"/>
    </xf>
    <xf numFmtId="166" fontId="10" fillId="0" borderId="1" xfId="21" applyNumberFormat="1" applyFont="1" applyFill="1" applyBorder="1" applyAlignment="1">
      <alignment horizontal="right" vertical="center"/>
    </xf>
    <xf numFmtId="3" fontId="10" fillId="0" borderId="1" xfId="21" applyNumberFormat="1" applyFont="1" applyFill="1" applyBorder="1" applyAlignment="1">
      <alignment horizontal="right" vertical="center"/>
    </xf>
    <xf numFmtId="164" fontId="0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64" fontId="0" fillId="0" borderId="1" xfId="17" applyNumberFormat="1" applyFont="1" applyFill="1" applyBorder="1" applyAlignment="1" applyProtection="1">
      <alignment vertical="center" wrapText="1"/>
      <protection locked="0"/>
    </xf>
    <xf numFmtId="164" fontId="10" fillId="0" borderId="1" xfId="17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vertical="center"/>
    </xf>
    <xf numFmtId="3" fontId="0" fillId="0" borderId="1" xfId="15" applyNumberFormat="1" applyFont="1" applyFill="1" applyBorder="1" applyAlignment="1">
      <alignment vertical="center"/>
      <protection/>
    </xf>
    <xf numFmtId="3" fontId="0" fillId="2" borderId="1" xfId="19" applyNumberFormat="1" applyFont="1" applyFill="1" applyBorder="1" applyAlignment="1" applyProtection="1">
      <alignment vertical="center"/>
      <protection locked="0"/>
    </xf>
    <xf numFmtId="3" fontId="10" fillId="0" borderId="1" xfId="19" applyNumberFormat="1" applyFont="1" applyFill="1" applyBorder="1" applyAlignment="1" applyProtection="1">
      <alignment vertical="center"/>
      <protection locked="0"/>
    </xf>
    <xf numFmtId="166" fontId="0" fillId="0" borderId="1" xfId="19" applyNumberFormat="1" applyFont="1" applyFill="1" applyBorder="1" applyAlignment="1">
      <alignment vertical="center"/>
    </xf>
    <xf numFmtId="166" fontId="10" fillId="0" borderId="1" xfId="19" applyNumberFormat="1" applyFont="1" applyFill="1" applyBorder="1" applyAlignment="1">
      <alignment vertical="center"/>
    </xf>
    <xf numFmtId="166" fontId="0" fillId="0" borderId="1" xfId="15" applyNumberFormat="1" applyFont="1" applyFill="1" applyBorder="1" applyAlignment="1">
      <alignment vertical="center"/>
      <protection/>
    </xf>
    <xf numFmtId="166" fontId="10" fillId="0" borderId="1" xfId="15" applyNumberFormat="1" applyFont="1" applyFill="1" applyBorder="1" applyAlignment="1">
      <alignment vertical="center"/>
      <protection/>
    </xf>
    <xf numFmtId="4" fontId="0" fillId="2" borderId="1" xfId="15" applyNumberFormat="1" applyFont="1" applyFill="1" applyBorder="1" applyAlignment="1">
      <alignment vertical="center"/>
      <protection/>
    </xf>
    <xf numFmtId="4" fontId="0" fillId="0" borderId="1" xfId="19" applyNumberFormat="1" applyFont="1" applyFill="1" applyBorder="1" applyAlignment="1" applyProtection="1">
      <alignment vertical="center"/>
      <protection locked="0"/>
    </xf>
    <xf numFmtId="4" fontId="10" fillId="0" borderId="1" xfId="15" applyNumberFormat="1" applyFont="1" applyFill="1" applyBorder="1" applyAlignment="1">
      <alignment vertical="center"/>
      <protection/>
    </xf>
    <xf numFmtId="4" fontId="0" fillId="0" borderId="1" xfId="15" applyNumberFormat="1" applyFont="1" applyFill="1" applyBorder="1" applyAlignment="1">
      <alignment vertical="center"/>
      <protection/>
    </xf>
    <xf numFmtId="166" fontId="0" fillId="2" borderId="1" xfId="0" applyNumberFormat="1" applyFont="1" applyFill="1" applyBorder="1" applyAlignment="1">
      <alignment horizontal="right" vertical="center"/>
    </xf>
    <xf numFmtId="3" fontId="0" fillId="0" borderId="1" xfId="21" applyNumberFormat="1" applyFont="1" applyFill="1" applyBorder="1" applyAlignment="1">
      <alignment horizontal="right" vertical="center"/>
    </xf>
    <xf numFmtId="166" fontId="0" fillId="2" borderId="1" xfId="21" applyNumberFormat="1" applyFont="1" applyFill="1" applyBorder="1" applyAlignment="1" applyProtection="1">
      <alignment horizontal="right" vertical="center"/>
      <protection locked="0"/>
    </xf>
    <xf numFmtId="3" fontId="0" fillId="0" borderId="1" xfId="17" applyNumberFormat="1" applyFont="1" applyFill="1" applyBorder="1" applyAlignment="1">
      <alignment horizontal="right" vertical="center"/>
    </xf>
    <xf numFmtId="3" fontId="0" fillId="2" borderId="1" xfId="16" applyNumberFormat="1" applyFont="1" applyFill="1" applyBorder="1" applyAlignment="1">
      <alignment horizontal="right" vertical="center"/>
      <protection/>
    </xf>
    <xf numFmtId="166" fontId="0" fillId="0" borderId="1" xfId="21" applyNumberFormat="1" applyFont="1" applyFill="1" applyBorder="1" applyAlignment="1" applyProtection="1">
      <alignment horizontal="right" vertical="center"/>
      <protection locked="0"/>
    </xf>
    <xf numFmtId="3" fontId="0" fillId="2" borderId="1" xfId="21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15" applyNumberFormat="1" applyFont="1" applyFill="1" applyBorder="1" applyAlignment="1">
      <alignment horizontal="right" vertical="center"/>
      <protection/>
    </xf>
    <xf numFmtId="4" fontId="0" fillId="0" borderId="0" xfId="15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0" fontId="17" fillId="0" borderId="1" xfId="15" applyNumberFormat="1" applyFont="1" applyFill="1" applyBorder="1" applyAlignment="1" applyProtection="1">
      <alignment horizontal="left" vertical="center"/>
      <protection locked="0"/>
    </xf>
    <xf numFmtId="0" fontId="17" fillId="0" borderId="0" xfId="15" applyNumberFormat="1" applyFont="1" applyFill="1" applyAlignment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6" fontId="3" fillId="0" borderId="0" xfId="17" applyNumberFormat="1" applyFont="1" applyFill="1" applyBorder="1" applyAlignment="1">
      <alignment vertical="center"/>
    </xf>
    <xf numFmtId="166" fontId="0" fillId="0" borderId="1" xfId="18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64" fontId="0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64" fontId="0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1" fontId="0" fillId="0" borderId="1" xfId="15" applyNumberFormat="1" applyFont="1" applyFill="1" applyBorder="1" applyAlignment="1">
      <alignment horizontal="right" vertical="center"/>
      <protection/>
    </xf>
    <xf numFmtId="0" fontId="0" fillId="0" borderId="1" xfId="15" applyNumberFormat="1" applyFont="1" applyFill="1" applyBorder="1" applyAlignment="1" applyProtection="1">
      <alignment horizontal="center" vertical="center"/>
      <protection locked="0"/>
    </xf>
    <xf numFmtId="0" fontId="0" fillId="0" borderId="1" xfId="20" applyFont="1" applyFill="1" applyBorder="1" applyAlignment="1">
      <alignment vertical="center"/>
      <protection/>
    </xf>
    <xf numFmtId="0" fontId="0" fillId="0" borderId="1" xfId="15" applyNumberFormat="1" applyFont="1" applyFill="1" applyBorder="1" applyAlignment="1">
      <alignment horizontal="right"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 locked="0"/>
    </xf>
    <xf numFmtId="166" fontId="0" fillId="0" borderId="1" xfId="19" applyNumberFormat="1" applyFont="1" applyFill="1" applyBorder="1" applyAlignment="1">
      <alignment horizontal="right" vertical="center"/>
    </xf>
    <xf numFmtId="4" fontId="0" fillId="0" borderId="0" xfId="15" applyNumberFormat="1" applyFont="1" applyFill="1" applyBorder="1" applyAlignment="1">
      <alignment horizontal="right" vertical="center"/>
      <protection/>
    </xf>
    <xf numFmtId="3" fontId="0" fillId="0" borderId="1" xfId="19" applyNumberFormat="1" applyFont="1" applyFill="1" applyBorder="1" applyAlignment="1" applyProtection="1">
      <alignment horizontal="right" vertical="center"/>
      <protection locked="0"/>
    </xf>
    <xf numFmtId="1" fontId="0" fillId="0" borderId="1" xfId="15" applyNumberFormat="1" applyFont="1" applyFill="1" applyBorder="1" applyAlignment="1">
      <alignment vertical="center"/>
      <protection/>
    </xf>
    <xf numFmtId="3" fontId="0" fillId="0" borderId="1" xfId="15" applyNumberFormat="1" applyFont="1" applyFill="1" applyBorder="1" applyAlignment="1" applyProtection="1">
      <alignment horizontal="center" vertical="center"/>
      <protection locked="0"/>
    </xf>
    <xf numFmtId="3" fontId="0" fillId="0" borderId="1" xfId="19" applyNumberFormat="1" applyFont="1" applyFill="1" applyBorder="1" applyAlignment="1">
      <alignment vertical="center"/>
    </xf>
    <xf numFmtId="166" fontId="0" fillId="0" borderId="1" xfId="19" applyNumberFormat="1" applyFont="1" applyFill="1" applyBorder="1" applyAlignment="1">
      <alignment vertical="center"/>
    </xf>
    <xf numFmtId="166" fontId="0" fillId="0" borderId="1" xfId="15" applyNumberFormat="1" applyFont="1" applyFill="1" applyBorder="1" applyAlignment="1">
      <alignment vertical="center"/>
      <protection/>
    </xf>
    <xf numFmtId="4" fontId="0" fillId="0" borderId="1" xfId="15" applyNumberFormat="1" applyFont="1" applyFill="1" applyBorder="1" applyAlignment="1">
      <alignment vertical="center"/>
      <protection/>
    </xf>
    <xf numFmtId="4" fontId="0" fillId="0" borderId="1" xfId="19" applyNumberFormat="1" applyFont="1" applyFill="1" applyBorder="1" applyAlignment="1" applyProtection="1">
      <alignment vertical="center"/>
      <protection locked="0"/>
    </xf>
    <xf numFmtId="3" fontId="0" fillId="0" borderId="1" xfId="15" applyNumberFormat="1" applyFont="1" applyFill="1" applyBorder="1" applyAlignment="1">
      <alignment horizontal="center" vertical="center"/>
      <protection/>
    </xf>
    <xf numFmtId="4" fontId="0" fillId="0" borderId="0" xfId="15" applyNumberFormat="1" applyFont="1" applyFill="1" applyBorder="1" applyAlignment="1">
      <alignment vertical="center"/>
      <protection/>
    </xf>
    <xf numFmtId="3" fontId="0" fillId="0" borderId="1" xfId="19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0" xfId="17" applyNumberFormat="1" applyFont="1" applyFill="1" applyBorder="1" applyAlignment="1">
      <alignment horizontal="right" vertical="center"/>
    </xf>
    <xf numFmtId="3" fontId="3" fillId="0" borderId="0" xfId="17" applyNumberFormat="1" applyFont="1" applyFill="1" applyBorder="1" applyAlignment="1">
      <alignment horizontal="right" vertical="center"/>
    </xf>
    <xf numFmtId="0" fontId="3" fillId="0" borderId="0" xfId="17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17" applyNumberFormat="1" applyFont="1" applyFill="1" applyAlignment="1" applyProtection="1">
      <alignment vertical="center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90" wrapText="1"/>
    </xf>
    <xf numFmtId="0" fontId="0" fillId="0" borderId="5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textRotation="90" wrapText="1"/>
    </xf>
    <xf numFmtId="0" fontId="0" fillId="0" borderId="2" xfId="20" applyFont="1" applyFill="1" applyBorder="1" applyAlignment="1">
      <alignment horizontal="center" vertical="center" textRotation="90" wrapText="1"/>
      <protection/>
    </xf>
    <xf numFmtId="0" fontId="0" fillId="0" borderId="5" xfId="20" applyFont="1" applyFill="1" applyBorder="1" applyAlignment="1">
      <alignment horizontal="center" vertical="center" textRotation="90" wrapText="1"/>
      <protection/>
    </xf>
    <xf numFmtId="0" fontId="0" fillId="0" borderId="6" xfId="20" applyFont="1" applyFill="1" applyBorder="1" applyAlignment="1">
      <alignment horizontal="center" vertical="center" textRotation="90" wrapText="1"/>
      <protection/>
    </xf>
    <xf numFmtId="0" fontId="0" fillId="0" borderId="2" xfId="15" applyNumberFormat="1" applyFont="1" applyFill="1" applyBorder="1" applyAlignment="1">
      <alignment horizontal="center" vertical="center" textRotation="90"/>
      <protection/>
    </xf>
    <xf numFmtId="0" fontId="0" fillId="0" borderId="5" xfId="15" applyNumberFormat="1" applyFont="1" applyFill="1" applyBorder="1" applyAlignment="1">
      <alignment horizontal="center" vertical="center" textRotation="90"/>
      <protection/>
    </xf>
    <xf numFmtId="0" fontId="0" fillId="0" borderId="6" xfId="15" applyNumberFormat="1" applyFont="1" applyFill="1" applyBorder="1" applyAlignment="1">
      <alignment horizontal="center" vertical="center" textRotation="90"/>
      <protection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17" applyNumberFormat="1" applyFont="1" applyFill="1" applyBorder="1" applyAlignment="1">
      <alignment horizontal="center" vertical="center" wrapText="1"/>
    </xf>
    <xf numFmtId="164" fontId="0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17" applyNumberFormat="1" applyFont="1" applyFill="1" applyBorder="1" applyAlignment="1">
      <alignment horizontal="center" vertical="center"/>
    </xf>
    <xf numFmtId="0" fontId="0" fillId="0" borderId="14" xfId="17" applyNumberFormat="1" applyFont="1" applyFill="1" applyBorder="1" applyAlignment="1">
      <alignment horizontal="center" vertical="center"/>
    </xf>
    <xf numFmtId="0" fontId="0" fillId="0" borderId="2" xfId="17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17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" xfId="17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3" xfId="15" applyNumberFormat="1" applyFont="1" applyFill="1" applyBorder="1" applyAlignment="1">
      <alignment horizontal="center" vertical="center"/>
      <protection/>
    </xf>
    <xf numFmtId="0" fontId="9" fillId="0" borderId="15" xfId="15" applyNumberFormat="1" applyFont="1" applyFill="1" applyBorder="1" applyAlignment="1">
      <alignment horizontal="center" vertical="center"/>
      <protection/>
    </xf>
    <xf numFmtId="0" fontId="9" fillId="0" borderId="14" xfId="15" applyNumberFormat="1" applyFont="1" applyFill="1" applyBorder="1" applyAlignment="1">
      <alignment horizontal="center" vertical="center"/>
      <protection/>
    </xf>
    <xf numFmtId="0" fontId="0" fillId="0" borderId="1" xfId="15" applyNumberFormat="1" applyFont="1" applyFill="1" applyBorder="1" applyAlignment="1">
      <alignment horizontal="center" vertical="center" wrapText="1"/>
      <protection/>
    </xf>
    <xf numFmtId="0" fontId="3" fillId="0" borderId="1" xfId="15" applyNumberFormat="1" applyFont="1" applyFill="1" applyBorder="1" applyAlignment="1">
      <alignment horizontal="center" vertical="center" wrapText="1"/>
      <protection/>
    </xf>
    <xf numFmtId="0" fontId="9" fillId="0" borderId="2" xfId="15" applyNumberFormat="1" applyFont="1" applyFill="1" applyBorder="1" applyAlignment="1">
      <alignment horizontal="center" vertical="center" textRotation="90" wrapText="1"/>
      <protection/>
    </xf>
    <xf numFmtId="0" fontId="9" fillId="0" borderId="5" xfId="15" applyNumberFormat="1" applyFont="1" applyFill="1" applyBorder="1" applyAlignment="1">
      <alignment horizontal="center" vertical="center" textRotation="90" wrapText="1"/>
      <protection/>
    </xf>
    <xf numFmtId="0" fontId="9" fillId="0" borderId="6" xfId="15" applyNumberFormat="1" applyFont="1" applyFill="1" applyBorder="1" applyAlignment="1">
      <alignment horizontal="center" vertical="center" textRotation="90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3" xfId="17" applyNumberFormat="1" applyFont="1" applyFill="1" applyBorder="1" applyAlignment="1">
      <alignment horizontal="center" vertical="center"/>
    </xf>
    <xf numFmtId="0" fontId="0" fillId="0" borderId="14" xfId="17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textRotation="90" wrapText="1"/>
    </xf>
    <xf numFmtId="0" fontId="0" fillId="0" borderId="5" xfId="0" applyNumberFormat="1" applyFont="1" applyFill="1" applyBorder="1" applyAlignment="1">
      <alignment horizontal="center" vertical="center" textRotation="90" wrapText="1"/>
    </xf>
    <xf numFmtId="0" fontId="0" fillId="0" borderId="6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164" fontId="0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7" applyNumberFormat="1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center" vertical="center" textRotation="90" wrapText="1"/>
      <protection/>
    </xf>
    <xf numFmtId="49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Обычный_ДГТ-Юля" xfId="15"/>
    <cellStyle name="Обычный_Характеристика РЭУ-8" xfId="16"/>
    <cellStyle name="Comma" xfId="17"/>
    <cellStyle name="Comma [0]" xfId="18"/>
    <cellStyle name="Финансовый_ДГТ-Юля" xfId="19"/>
    <cellStyle name="Обычный_XGF98" xfId="20"/>
    <cellStyle name="Финансовый [0]_Характеристика РЭУ-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13"/>
  <sheetViews>
    <sheetView tabSelected="1" zoomScale="115" zoomScaleNormal="115" zoomScalePageLayoutView="0" workbookViewId="0" topLeftCell="A1">
      <pane xSplit="3" ySplit="6" topLeftCell="D51" activePane="bottomRight" state="frozen"/>
      <selection pane="bottomRight" activeCell="L57" sqref="L57:L66"/>
    </sheetView>
  </sheetViews>
  <sheetFormatPr defaultColWidth="9.16015625" defaultRowHeight="12.75" outlineLevelCol="1"/>
  <cols>
    <col min="1" max="1" width="11.33203125" style="1" hidden="1" customWidth="1" outlineLevel="1"/>
    <col min="2" max="2" width="5.16015625" style="6" bestFit="1" customWidth="1" collapsed="1"/>
    <col min="3" max="3" width="34.16015625" style="1" customWidth="1"/>
    <col min="4" max="4" width="6.5" style="1" customWidth="1"/>
    <col min="5" max="5" width="8.33203125" style="1" customWidth="1"/>
    <col min="6" max="6" width="11.66015625" style="1" customWidth="1"/>
    <col min="7" max="7" width="5" style="1" customWidth="1"/>
    <col min="8" max="9" width="7" style="6" customWidth="1"/>
    <col min="10" max="10" width="11.5" style="1" customWidth="1" outlineLevel="1"/>
    <col min="11" max="11" width="10.16015625" style="1" customWidth="1" outlineLevel="1"/>
    <col min="12" max="12" width="17.5" style="1" customWidth="1" outlineLevel="1"/>
    <col min="13" max="13" width="10.33203125" style="1" customWidth="1" outlineLevel="1"/>
    <col min="14" max="14" width="8.83203125" style="1" customWidth="1" outlineLevel="1"/>
    <col min="15" max="16" width="8.33203125" style="1" customWidth="1"/>
    <col min="17" max="17" width="8.83203125" style="1" customWidth="1" outlineLevel="1"/>
    <col min="18" max="18" width="9.16015625" style="1" customWidth="1"/>
    <col min="19" max="19" width="13.33203125" style="29" bestFit="1" customWidth="1"/>
    <col min="20" max="20" width="11.66015625" style="29" customWidth="1"/>
    <col min="21" max="21" width="9.83203125" style="1" customWidth="1" outlineLevel="1"/>
    <col min="22" max="22" width="11.83203125" style="1" customWidth="1" outlineLevel="1"/>
    <col min="23" max="23" width="12.16015625" style="1" customWidth="1" outlineLevel="1"/>
    <col min="24" max="24" width="9" style="1" customWidth="1" outlineLevel="1"/>
    <col min="25" max="26" width="11.5" style="1" customWidth="1" outlineLevel="1"/>
    <col min="27" max="27" width="13.33203125" style="1" customWidth="1"/>
    <col min="28" max="28" width="10.16015625" style="29" customWidth="1"/>
    <col min="29" max="29" width="10.33203125" style="1" customWidth="1"/>
    <col min="30" max="30" width="10" style="1" customWidth="1"/>
    <col min="31" max="31" width="11.83203125" style="1" customWidth="1"/>
    <col min="32" max="32" width="12.83203125" style="1" customWidth="1"/>
    <col min="33" max="33" width="4.16015625" style="1" customWidth="1" outlineLevel="1"/>
    <col min="34" max="34" width="4.83203125" style="1" customWidth="1" outlineLevel="1"/>
    <col min="35" max="38" width="7" style="1" customWidth="1" outlineLevel="1"/>
    <col min="39" max="39" width="9.5" style="1" customWidth="1" outlineLevel="1"/>
    <col min="40" max="41" width="8.33203125" style="1" customWidth="1" outlineLevel="1"/>
    <col min="42" max="42" width="8.33203125" style="6" customWidth="1" outlineLevel="1"/>
    <col min="43" max="43" width="10" style="1" customWidth="1" outlineLevel="1"/>
    <col min="44" max="46" width="11.83203125" style="1" customWidth="1" outlineLevel="1"/>
    <col min="47" max="47" width="10" style="1" customWidth="1" outlineLevel="1"/>
    <col min="48" max="48" width="8.33203125" style="1" customWidth="1" outlineLevel="1"/>
    <col min="49" max="49" width="10.66015625" style="1" customWidth="1" outlineLevel="1"/>
    <col min="50" max="50" width="8.16015625" style="1" customWidth="1" outlineLevel="1"/>
    <col min="51" max="51" width="7.66015625" style="1" customWidth="1" outlineLevel="1"/>
    <col min="52" max="52" width="7.33203125" style="1" customWidth="1" outlineLevel="1"/>
    <col min="53" max="53" width="8.5" style="1" customWidth="1" outlineLevel="1"/>
    <col min="54" max="54" width="10" style="1" customWidth="1" outlineLevel="1"/>
    <col min="55" max="55" width="7" style="1" customWidth="1" outlineLevel="1"/>
    <col min="56" max="56" width="10.16015625" style="1" customWidth="1" outlineLevel="1"/>
    <col min="57" max="57" width="11" style="1" customWidth="1" outlineLevel="1"/>
    <col min="58" max="58" width="10.66015625" style="1" customWidth="1" outlineLevel="1"/>
    <col min="59" max="59" width="5.16015625" style="1" customWidth="1"/>
    <col min="60" max="60" width="10.5" style="1" customWidth="1"/>
    <col min="61" max="61" width="9.16015625" style="1" customWidth="1"/>
    <col min="62" max="62" width="4.66015625" style="1" customWidth="1"/>
    <col min="63" max="63" width="11.16015625" style="1" customWidth="1"/>
    <col min="64" max="64" width="9.16015625" style="1" customWidth="1"/>
    <col min="65" max="65" width="5.66015625" style="1" customWidth="1"/>
    <col min="66" max="67" width="9.16015625" style="1" customWidth="1"/>
    <col min="68" max="69" width="9" style="1" customWidth="1" outlineLevel="1"/>
    <col min="70" max="70" width="10.33203125" style="1" customWidth="1" outlineLevel="1"/>
    <col min="71" max="71" width="11.5" style="1" customWidth="1" outlineLevel="1"/>
    <col min="72" max="72" width="7.66015625" style="1" customWidth="1" outlineLevel="1"/>
    <col min="73" max="73" width="9.83203125" style="1" customWidth="1" outlineLevel="1"/>
    <col min="74" max="74" width="10.16015625" style="1" customWidth="1" outlineLevel="1"/>
    <col min="75" max="76" width="9.16015625" style="1" customWidth="1" outlineLevel="1"/>
    <col min="77" max="80" width="8.83203125" style="1" customWidth="1"/>
    <col min="81" max="89" width="13" style="1" customWidth="1"/>
    <col min="90" max="90" width="9.16015625" style="106" customWidth="1"/>
    <col min="91" max="91" width="13" style="1" customWidth="1"/>
    <col min="92" max="93" width="11.16015625" style="1" customWidth="1"/>
    <col min="94" max="94" width="11.33203125" style="1" customWidth="1" outlineLevel="1"/>
    <col min="95" max="95" width="12.83203125" style="29" customWidth="1" outlineLevel="1"/>
    <col min="96" max="96" width="12" style="29" customWidth="1" outlineLevel="1"/>
    <col min="97" max="97" width="13.66015625" style="29" customWidth="1" outlineLevel="1"/>
    <col min="98" max="98" width="11.33203125" style="29" customWidth="1" outlineLevel="1"/>
    <col min="99" max="99" width="4.5" style="1" customWidth="1"/>
    <col min="100" max="100" width="9.16015625" style="1" customWidth="1" outlineLevel="1"/>
    <col min="101" max="103" width="9.83203125" style="1" customWidth="1" outlineLevel="1"/>
    <col min="104" max="104" width="8.33203125" style="1" customWidth="1" outlineLevel="1"/>
    <col min="105" max="105" width="9.83203125" style="1" customWidth="1" outlineLevel="1"/>
    <col min="106" max="113" width="9.16015625" style="1" customWidth="1"/>
    <col min="114" max="16384" width="9.16015625" style="1" customWidth="1"/>
  </cols>
  <sheetData>
    <row r="1" spans="2:98" ht="15.75">
      <c r="B1" s="2"/>
      <c r="C1" s="41" t="s">
        <v>200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4"/>
      <c r="T1" s="4"/>
      <c r="U1" s="3"/>
      <c r="V1" s="3"/>
      <c r="W1" s="3"/>
      <c r="X1" s="5"/>
      <c r="Y1" s="5"/>
      <c r="Z1" s="5"/>
      <c r="AB1" s="4"/>
      <c r="AC1" s="3"/>
      <c r="AD1" s="3"/>
      <c r="AE1" s="3"/>
      <c r="AF1" s="5"/>
      <c r="AG1" s="3"/>
      <c r="AH1" s="3"/>
      <c r="AI1" s="3"/>
      <c r="AJ1" s="3"/>
      <c r="AK1" s="3"/>
      <c r="CP1" s="3"/>
      <c r="CQ1" s="4"/>
      <c r="CR1" s="4"/>
      <c r="CS1" s="4"/>
      <c r="CT1" s="4"/>
    </row>
    <row r="2" spans="1:105" ht="57.75" customHeight="1">
      <c r="A2" s="176" t="s">
        <v>88</v>
      </c>
      <c r="B2" s="179" t="s">
        <v>0</v>
      </c>
      <c r="C2" s="180" t="s">
        <v>4</v>
      </c>
      <c r="D2" s="181" t="s">
        <v>36</v>
      </c>
      <c r="E2" s="181" t="s">
        <v>37</v>
      </c>
      <c r="F2" s="181" t="s">
        <v>38</v>
      </c>
      <c r="G2" s="181" t="s">
        <v>39</v>
      </c>
      <c r="H2" s="182" t="s">
        <v>40</v>
      </c>
      <c r="I2" s="182" t="s">
        <v>41</v>
      </c>
      <c r="J2" s="181" t="s">
        <v>42</v>
      </c>
      <c r="K2" s="181" t="s">
        <v>43</v>
      </c>
      <c r="L2" s="181" t="s">
        <v>207</v>
      </c>
      <c r="M2" s="180" t="s">
        <v>2</v>
      </c>
      <c r="N2" s="180"/>
      <c r="O2" s="180" t="s">
        <v>3</v>
      </c>
      <c r="P2" s="180"/>
      <c r="Q2" s="180"/>
      <c r="R2" s="180"/>
      <c r="S2" s="185" t="s">
        <v>149</v>
      </c>
      <c r="T2" s="185"/>
      <c r="U2" s="185"/>
      <c r="V2" s="185"/>
      <c r="W2" s="185"/>
      <c r="X2" s="185"/>
      <c r="Y2" s="185"/>
      <c r="Z2" s="185"/>
      <c r="AA2" s="184" t="s">
        <v>151</v>
      </c>
      <c r="AB2" s="184"/>
      <c r="AC2" s="184"/>
      <c r="AD2" s="184"/>
      <c r="AE2" s="184"/>
      <c r="AF2" s="180" t="s">
        <v>86</v>
      </c>
      <c r="AG2" s="173" t="s">
        <v>53</v>
      </c>
      <c r="AH2" s="173" t="s">
        <v>54</v>
      </c>
      <c r="AI2" s="173" t="s">
        <v>55</v>
      </c>
      <c r="AJ2" s="173" t="s">
        <v>56</v>
      </c>
      <c r="AK2" s="173" t="s">
        <v>57</v>
      </c>
      <c r="AL2" s="173" t="s">
        <v>58</v>
      </c>
      <c r="AM2" s="155" t="s">
        <v>59</v>
      </c>
      <c r="AN2" s="155" t="s">
        <v>60</v>
      </c>
      <c r="AO2" s="155" t="s">
        <v>61</v>
      </c>
      <c r="AP2" s="155" t="s">
        <v>62</v>
      </c>
      <c r="AQ2" s="155" t="s">
        <v>63</v>
      </c>
      <c r="AR2" s="153" t="s">
        <v>153</v>
      </c>
      <c r="AS2" s="153"/>
      <c r="AT2" s="153"/>
      <c r="AU2" s="155" t="s">
        <v>64</v>
      </c>
      <c r="AV2" s="155" t="s">
        <v>65</v>
      </c>
      <c r="AW2" s="155" t="s">
        <v>66</v>
      </c>
      <c r="AX2" s="155" t="s">
        <v>67</v>
      </c>
      <c r="AY2" s="155" t="s">
        <v>68</v>
      </c>
      <c r="AZ2" s="155" t="s">
        <v>69</v>
      </c>
      <c r="BA2" s="155" t="s">
        <v>70</v>
      </c>
      <c r="BB2" s="155" t="s">
        <v>71</v>
      </c>
      <c r="BC2" s="155" t="s">
        <v>72</v>
      </c>
      <c r="BD2" s="158" t="s">
        <v>73</v>
      </c>
      <c r="BE2" s="159"/>
      <c r="BF2" s="160"/>
      <c r="BG2" s="154" t="s">
        <v>19</v>
      </c>
      <c r="BH2" s="154"/>
      <c r="BI2" s="154"/>
      <c r="BJ2" s="154" t="s">
        <v>21</v>
      </c>
      <c r="BK2" s="154"/>
      <c r="BL2" s="154"/>
      <c r="BM2" s="154" t="s">
        <v>162</v>
      </c>
      <c r="BN2" s="154"/>
      <c r="BO2" s="154"/>
      <c r="BP2" s="153" t="s">
        <v>22</v>
      </c>
      <c r="BQ2" s="153"/>
      <c r="BR2" s="155" t="s">
        <v>23</v>
      </c>
      <c r="BS2" s="155" t="s">
        <v>24</v>
      </c>
      <c r="BT2" s="155" t="s">
        <v>25</v>
      </c>
      <c r="BU2" s="181" t="s">
        <v>28</v>
      </c>
      <c r="BV2" s="172" t="s">
        <v>32</v>
      </c>
      <c r="BW2" s="172" t="s">
        <v>33</v>
      </c>
      <c r="BX2" s="172" t="s">
        <v>34</v>
      </c>
      <c r="BY2" s="201" t="s">
        <v>81</v>
      </c>
      <c r="BZ2" s="201"/>
      <c r="CA2" s="201"/>
      <c r="CB2" s="201"/>
      <c r="CC2" s="172" t="s">
        <v>187</v>
      </c>
      <c r="CD2" s="193" t="s">
        <v>174</v>
      </c>
      <c r="CE2" s="194"/>
      <c r="CF2" s="194"/>
      <c r="CG2" s="194"/>
      <c r="CH2" s="194"/>
      <c r="CI2" s="194"/>
      <c r="CJ2" s="194"/>
      <c r="CK2" s="194"/>
      <c r="CL2" s="194"/>
      <c r="CM2" s="195"/>
      <c r="CN2" s="198" t="s">
        <v>201</v>
      </c>
      <c r="CO2" s="173" t="s">
        <v>202</v>
      </c>
      <c r="CP2" s="155" t="s">
        <v>76</v>
      </c>
      <c r="CQ2" s="190" t="s">
        <v>77</v>
      </c>
      <c r="CR2" s="190" t="s">
        <v>78</v>
      </c>
      <c r="CS2" s="190" t="s">
        <v>79</v>
      </c>
      <c r="CT2" s="190" t="s">
        <v>80</v>
      </c>
      <c r="CV2" s="153" t="s">
        <v>203</v>
      </c>
      <c r="CW2" s="153"/>
      <c r="CX2" s="153" t="s">
        <v>204</v>
      </c>
      <c r="CY2" s="153"/>
      <c r="CZ2" s="153" t="s">
        <v>50</v>
      </c>
      <c r="DA2" s="153"/>
    </row>
    <row r="3" spans="1:105" ht="27" customHeight="1">
      <c r="A3" s="177"/>
      <c r="B3" s="179"/>
      <c r="C3" s="180"/>
      <c r="D3" s="181"/>
      <c r="E3" s="181"/>
      <c r="F3" s="181"/>
      <c r="G3" s="181"/>
      <c r="H3" s="182"/>
      <c r="I3" s="182"/>
      <c r="J3" s="181"/>
      <c r="K3" s="181"/>
      <c r="L3" s="181"/>
      <c r="M3" s="181" t="s">
        <v>44</v>
      </c>
      <c r="N3" s="181" t="s">
        <v>45</v>
      </c>
      <c r="O3" s="181" t="s">
        <v>46</v>
      </c>
      <c r="P3" s="181" t="s">
        <v>47</v>
      </c>
      <c r="Q3" s="181" t="s">
        <v>85</v>
      </c>
      <c r="R3" s="181" t="s">
        <v>48</v>
      </c>
      <c r="S3" s="188" t="s">
        <v>50</v>
      </c>
      <c r="T3" s="189"/>
      <c r="U3" s="153" t="s">
        <v>147</v>
      </c>
      <c r="V3" s="153"/>
      <c r="W3" s="153"/>
      <c r="X3" s="153" t="s">
        <v>148</v>
      </c>
      <c r="Y3" s="153"/>
      <c r="Z3" s="153"/>
      <c r="AA3" s="153" t="s">
        <v>152</v>
      </c>
      <c r="AB3" s="184" t="s">
        <v>148</v>
      </c>
      <c r="AC3" s="184"/>
      <c r="AD3" s="184"/>
      <c r="AE3" s="153" t="s">
        <v>147</v>
      </c>
      <c r="AF3" s="180"/>
      <c r="AG3" s="174"/>
      <c r="AH3" s="174"/>
      <c r="AI3" s="174"/>
      <c r="AJ3" s="174"/>
      <c r="AK3" s="174"/>
      <c r="AL3" s="174"/>
      <c r="AM3" s="156"/>
      <c r="AN3" s="156"/>
      <c r="AO3" s="156"/>
      <c r="AP3" s="156"/>
      <c r="AQ3" s="156"/>
      <c r="AR3" s="167" t="s">
        <v>1</v>
      </c>
      <c r="AS3" s="170" t="s">
        <v>74</v>
      </c>
      <c r="AT3" s="171"/>
      <c r="AU3" s="156"/>
      <c r="AV3" s="156"/>
      <c r="AW3" s="156"/>
      <c r="AX3" s="156"/>
      <c r="AY3" s="156"/>
      <c r="AZ3" s="156"/>
      <c r="BA3" s="156"/>
      <c r="BB3" s="156"/>
      <c r="BC3" s="156"/>
      <c r="BD3" s="161"/>
      <c r="BE3" s="162"/>
      <c r="BF3" s="163"/>
      <c r="BG3" s="172" t="s">
        <v>20</v>
      </c>
      <c r="BH3" s="153" t="s">
        <v>205</v>
      </c>
      <c r="BI3" s="153" t="s">
        <v>206</v>
      </c>
      <c r="BJ3" s="172" t="s">
        <v>20</v>
      </c>
      <c r="BK3" s="153" t="s">
        <v>205</v>
      </c>
      <c r="BL3" s="153" t="s">
        <v>206</v>
      </c>
      <c r="BM3" s="172" t="s">
        <v>20</v>
      </c>
      <c r="BN3" s="153" t="s">
        <v>205</v>
      </c>
      <c r="BO3" s="153" t="s">
        <v>206</v>
      </c>
      <c r="BP3" s="153"/>
      <c r="BQ3" s="153"/>
      <c r="BR3" s="156"/>
      <c r="BS3" s="156"/>
      <c r="BT3" s="156"/>
      <c r="BU3" s="181"/>
      <c r="BV3" s="172"/>
      <c r="BW3" s="172"/>
      <c r="BX3" s="172"/>
      <c r="BY3" s="172" t="s">
        <v>82</v>
      </c>
      <c r="BZ3" s="172" t="s">
        <v>83</v>
      </c>
      <c r="CA3" s="172" t="s">
        <v>160</v>
      </c>
      <c r="CB3" s="172" t="s">
        <v>84</v>
      </c>
      <c r="CC3" s="172"/>
      <c r="CD3" s="196" t="s">
        <v>175</v>
      </c>
      <c r="CE3" s="196" t="s">
        <v>176</v>
      </c>
      <c r="CF3" s="196" t="s">
        <v>177</v>
      </c>
      <c r="CG3" s="196" t="s">
        <v>178</v>
      </c>
      <c r="CH3" s="196" t="s">
        <v>179</v>
      </c>
      <c r="CI3" s="196" t="s">
        <v>180</v>
      </c>
      <c r="CJ3" s="196" t="s">
        <v>181</v>
      </c>
      <c r="CK3" s="196" t="s">
        <v>182</v>
      </c>
      <c r="CL3" s="196" t="s">
        <v>183</v>
      </c>
      <c r="CM3" s="197" t="s">
        <v>184</v>
      </c>
      <c r="CN3" s="199"/>
      <c r="CO3" s="174"/>
      <c r="CP3" s="156"/>
      <c r="CQ3" s="191"/>
      <c r="CR3" s="191"/>
      <c r="CS3" s="191"/>
      <c r="CT3" s="191"/>
      <c r="CV3" s="153"/>
      <c r="CW3" s="153"/>
      <c r="CX3" s="153"/>
      <c r="CY3" s="153"/>
      <c r="CZ3" s="153"/>
      <c r="DA3" s="153"/>
    </row>
    <row r="4" spans="1:105" ht="12.75" customHeight="1">
      <c r="A4" s="177"/>
      <c r="B4" s="179"/>
      <c r="C4" s="180"/>
      <c r="D4" s="181"/>
      <c r="E4" s="181"/>
      <c r="F4" s="181"/>
      <c r="G4" s="181"/>
      <c r="H4" s="182"/>
      <c r="I4" s="182"/>
      <c r="J4" s="181"/>
      <c r="K4" s="181"/>
      <c r="L4" s="181"/>
      <c r="M4" s="181"/>
      <c r="N4" s="181"/>
      <c r="O4" s="181"/>
      <c r="P4" s="181"/>
      <c r="Q4" s="181"/>
      <c r="R4" s="181"/>
      <c r="S4" s="183" t="s">
        <v>52</v>
      </c>
      <c r="T4" s="183"/>
      <c r="U4" s="186" t="s">
        <v>46</v>
      </c>
      <c r="V4" s="183" t="s">
        <v>52</v>
      </c>
      <c r="W4" s="183"/>
      <c r="X4" s="186" t="s">
        <v>46</v>
      </c>
      <c r="Y4" s="183" t="s">
        <v>52</v>
      </c>
      <c r="Z4" s="183"/>
      <c r="AA4" s="153"/>
      <c r="AB4" s="185" t="s">
        <v>50</v>
      </c>
      <c r="AC4" s="185" t="s">
        <v>197</v>
      </c>
      <c r="AD4" s="185"/>
      <c r="AE4" s="153"/>
      <c r="AF4" s="180"/>
      <c r="AG4" s="174"/>
      <c r="AH4" s="174"/>
      <c r="AI4" s="174"/>
      <c r="AJ4" s="174"/>
      <c r="AK4" s="174"/>
      <c r="AL4" s="174"/>
      <c r="AM4" s="156"/>
      <c r="AN4" s="156"/>
      <c r="AO4" s="156"/>
      <c r="AP4" s="156"/>
      <c r="AQ4" s="156"/>
      <c r="AR4" s="168"/>
      <c r="AS4" s="167" t="s">
        <v>8</v>
      </c>
      <c r="AT4" s="167" t="s">
        <v>9</v>
      </c>
      <c r="AU4" s="156"/>
      <c r="AV4" s="156"/>
      <c r="AW4" s="156"/>
      <c r="AX4" s="156"/>
      <c r="AY4" s="156"/>
      <c r="AZ4" s="156"/>
      <c r="BA4" s="156"/>
      <c r="BB4" s="156"/>
      <c r="BC4" s="156"/>
      <c r="BD4" s="164"/>
      <c r="BE4" s="165"/>
      <c r="BF4" s="166"/>
      <c r="BG4" s="172"/>
      <c r="BH4" s="153"/>
      <c r="BI4" s="153"/>
      <c r="BJ4" s="172"/>
      <c r="BK4" s="153"/>
      <c r="BL4" s="153"/>
      <c r="BM4" s="172"/>
      <c r="BN4" s="153"/>
      <c r="BO4" s="153"/>
      <c r="BP4" s="103" t="s">
        <v>26</v>
      </c>
      <c r="BQ4" s="103" t="s">
        <v>27</v>
      </c>
      <c r="BR4" s="156"/>
      <c r="BS4" s="156"/>
      <c r="BT4" s="156"/>
      <c r="BU4" s="181"/>
      <c r="BV4" s="172"/>
      <c r="BW4" s="172"/>
      <c r="BX4" s="172"/>
      <c r="BY4" s="172"/>
      <c r="BZ4" s="172"/>
      <c r="CA4" s="172"/>
      <c r="CB4" s="172"/>
      <c r="CC4" s="172"/>
      <c r="CD4" s="196"/>
      <c r="CE4" s="196"/>
      <c r="CF4" s="196"/>
      <c r="CG4" s="196"/>
      <c r="CH4" s="196"/>
      <c r="CI4" s="196"/>
      <c r="CJ4" s="196"/>
      <c r="CK4" s="196"/>
      <c r="CL4" s="196"/>
      <c r="CM4" s="197"/>
      <c r="CN4" s="199"/>
      <c r="CO4" s="174"/>
      <c r="CP4" s="156"/>
      <c r="CQ4" s="191"/>
      <c r="CR4" s="191"/>
      <c r="CS4" s="191"/>
      <c r="CT4" s="191"/>
      <c r="CV4" s="153"/>
      <c r="CW4" s="153"/>
      <c r="CX4" s="153"/>
      <c r="CY4" s="153"/>
      <c r="CZ4" s="153"/>
      <c r="DA4" s="153"/>
    </row>
    <row r="5" spans="1:105" ht="63.75" customHeight="1">
      <c r="A5" s="178"/>
      <c r="B5" s="179"/>
      <c r="C5" s="180"/>
      <c r="D5" s="181"/>
      <c r="E5" s="181"/>
      <c r="F5" s="181"/>
      <c r="G5" s="181"/>
      <c r="H5" s="182"/>
      <c r="I5" s="182"/>
      <c r="J5" s="181"/>
      <c r="K5" s="181"/>
      <c r="L5" s="181"/>
      <c r="M5" s="181"/>
      <c r="N5" s="181"/>
      <c r="O5" s="181"/>
      <c r="P5" s="181"/>
      <c r="Q5" s="181"/>
      <c r="R5" s="181"/>
      <c r="S5" s="107" t="s">
        <v>49</v>
      </c>
      <c r="T5" s="107" t="s">
        <v>5</v>
      </c>
      <c r="U5" s="187"/>
      <c r="V5" s="108" t="s">
        <v>49</v>
      </c>
      <c r="W5" s="108" t="s">
        <v>5</v>
      </c>
      <c r="X5" s="187"/>
      <c r="Y5" s="108" t="s">
        <v>49</v>
      </c>
      <c r="Z5" s="108" t="s">
        <v>5</v>
      </c>
      <c r="AA5" s="153"/>
      <c r="AB5" s="185"/>
      <c r="AC5" s="109" t="s">
        <v>198</v>
      </c>
      <c r="AD5" s="110" t="s">
        <v>199</v>
      </c>
      <c r="AE5" s="153"/>
      <c r="AF5" s="180"/>
      <c r="AG5" s="175"/>
      <c r="AH5" s="175"/>
      <c r="AI5" s="175"/>
      <c r="AJ5" s="175"/>
      <c r="AK5" s="175"/>
      <c r="AL5" s="175"/>
      <c r="AM5" s="157"/>
      <c r="AN5" s="157"/>
      <c r="AO5" s="157"/>
      <c r="AP5" s="157"/>
      <c r="AQ5" s="157"/>
      <c r="AR5" s="169"/>
      <c r="AS5" s="169"/>
      <c r="AT5" s="169"/>
      <c r="AU5" s="157"/>
      <c r="AV5" s="157"/>
      <c r="AW5" s="157"/>
      <c r="AX5" s="157"/>
      <c r="AY5" s="157"/>
      <c r="AZ5" s="157"/>
      <c r="BA5" s="157"/>
      <c r="BB5" s="157"/>
      <c r="BC5" s="157"/>
      <c r="BD5" s="111" t="s">
        <v>75</v>
      </c>
      <c r="BE5" s="111" t="s">
        <v>6</v>
      </c>
      <c r="BF5" s="112" t="s">
        <v>7</v>
      </c>
      <c r="BG5" s="172"/>
      <c r="BH5" s="153"/>
      <c r="BI5" s="153"/>
      <c r="BJ5" s="172"/>
      <c r="BK5" s="153"/>
      <c r="BL5" s="153"/>
      <c r="BM5" s="172"/>
      <c r="BN5" s="153"/>
      <c r="BO5" s="153"/>
      <c r="BP5" s="7"/>
      <c r="BQ5" s="7"/>
      <c r="BR5" s="157"/>
      <c r="BS5" s="157"/>
      <c r="BT5" s="157"/>
      <c r="BU5" s="181"/>
      <c r="BV5" s="172"/>
      <c r="BW5" s="172"/>
      <c r="BX5" s="172"/>
      <c r="BY5" s="172"/>
      <c r="BZ5" s="172"/>
      <c r="CA5" s="172"/>
      <c r="CB5" s="172"/>
      <c r="CC5" s="172"/>
      <c r="CD5" s="196"/>
      <c r="CE5" s="196"/>
      <c r="CF5" s="196"/>
      <c r="CG5" s="196"/>
      <c r="CH5" s="196"/>
      <c r="CI5" s="196"/>
      <c r="CJ5" s="196"/>
      <c r="CK5" s="196"/>
      <c r="CL5" s="196"/>
      <c r="CM5" s="197"/>
      <c r="CN5" s="200"/>
      <c r="CO5" s="175"/>
      <c r="CP5" s="157"/>
      <c r="CQ5" s="192"/>
      <c r="CR5" s="192"/>
      <c r="CS5" s="192"/>
      <c r="CT5" s="192"/>
      <c r="CV5" s="103" t="s">
        <v>185</v>
      </c>
      <c r="CW5" s="103" t="s">
        <v>186</v>
      </c>
      <c r="CX5" s="103" t="s">
        <v>185</v>
      </c>
      <c r="CY5" s="103" t="s">
        <v>186</v>
      </c>
      <c r="CZ5" s="103" t="s">
        <v>185</v>
      </c>
      <c r="DA5" s="103" t="s">
        <v>186</v>
      </c>
    </row>
    <row r="6" spans="1:93" ht="12.75">
      <c r="A6" s="45"/>
      <c r="B6" s="113"/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113">
        <v>9</v>
      </c>
      <c r="L6" s="216" t="s">
        <v>208</v>
      </c>
      <c r="M6" s="113">
        <v>10</v>
      </c>
      <c r="N6" s="113">
        <v>11</v>
      </c>
      <c r="O6" s="113">
        <v>12</v>
      </c>
      <c r="P6" s="113">
        <v>13</v>
      </c>
      <c r="Q6" s="113">
        <v>14</v>
      </c>
      <c r="R6" s="113">
        <v>15</v>
      </c>
      <c r="S6" s="113">
        <v>16</v>
      </c>
      <c r="T6" s="113">
        <v>17</v>
      </c>
      <c r="U6" s="113">
        <v>18</v>
      </c>
      <c r="V6" s="113">
        <v>19</v>
      </c>
      <c r="W6" s="113">
        <v>20</v>
      </c>
      <c r="X6" s="113">
        <v>21</v>
      </c>
      <c r="Y6" s="113">
        <v>22</v>
      </c>
      <c r="Z6" s="113">
        <v>23</v>
      </c>
      <c r="AA6" s="113">
        <v>24</v>
      </c>
      <c r="AB6" s="113">
        <v>25</v>
      </c>
      <c r="AC6" s="113">
        <v>26</v>
      </c>
      <c r="AD6" s="113">
        <v>27</v>
      </c>
      <c r="AE6" s="113">
        <v>28</v>
      </c>
      <c r="AF6" s="113">
        <v>29</v>
      </c>
      <c r="AG6" s="113">
        <v>30</v>
      </c>
      <c r="AH6" s="113">
        <v>31</v>
      </c>
      <c r="AI6" s="113">
        <v>32</v>
      </c>
      <c r="AJ6" s="113">
        <v>33</v>
      </c>
      <c r="AK6" s="113">
        <v>34</v>
      </c>
      <c r="AL6" s="113">
        <v>35</v>
      </c>
      <c r="AM6" s="113">
        <v>36</v>
      </c>
      <c r="AN6" s="113">
        <v>37</v>
      </c>
      <c r="AO6" s="113">
        <v>38</v>
      </c>
      <c r="AP6" s="113">
        <v>39</v>
      </c>
      <c r="AQ6" s="113">
        <v>40</v>
      </c>
      <c r="AR6" s="113">
        <v>41</v>
      </c>
      <c r="AS6" s="113">
        <v>42</v>
      </c>
      <c r="AT6" s="113">
        <v>43</v>
      </c>
      <c r="AU6" s="113">
        <v>44</v>
      </c>
      <c r="AV6" s="113">
        <v>45</v>
      </c>
      <c r="AW6" s="113">
        <v>46</v>
      </c>
      <c r="AX6" s="113">
        <v>47</v>
      </c>
      <c r="AY6" s="113">
        <v>48</v>
      </c>
      <c r="AZ6" s="113">
        <v>49</v>
      </c>
      <c r="BA6" s="113">
        <v>50</v>
      </c>
      <c r="BB6" s="113">
        <v>51</v>
      </c>
      <c r="BC6" s="113">
        <v>52</v>
      </c>
      <c r="BD6" s="113">
        <v>53</v>
      </c>
      <c r="BE6" s="113">
        <v>54</v>
      </c>
      <c r="BF6" s="113">
        <v>55</v>
      </c>
      <c r="BG6" s="113">
        <v>56</v>
      </c>
      <c r="BH6" s="113">
        <v>57</v>
      </c>
      <c r="BI6" s="113">
        <v>58</v>
      </c>
      <c r="BJ6" s="113">
        <v>59</v>
      </c>
      <c r="BK6" s="113">
        <v>60</v>
      </c>
      <c r="BL6" s="113">
        <v>61</v>
      </c>
      <c r="BM6" s="113">
        <v>62</v>
      </c>
      <c r="BN6" s="113">
        <v>63</v>
      </c>
      <c r="BO6" s="113">
        <v>64</v>
      </c>
      <c r="BP6" s="113">
        <v>65</v>
      </c>
      <c r="BQ6" s="113">
        <v>66</v>
      </c>
      <c r="BR6" s="113">
        <v>67</v>
      </c>
      <c r="BS6" s="113">
        <v>68</v>
      </c>
      <c r="BT6" s="113">
        <v>69</v>
      </c>
      <c r="BU6" s="113">
        <v>70</v>
      </c>
      <c r="BV6" s="113">
        <v>71</v>
      </c>
      <c r="BW6" s="113">
        <v>72</v>
      </c>
      <c r="BX6" s="113">
        <v>73</v>
      </c>
      <c r="BY6" s="113">
        <v>74</v>
      </c>
      <c r="BZ6" s="113">
        <v>75</v>
      </c>
      <c r="CA6" s="113">
        <v>76</v>
      </c>
      <c r="CB6" s="113">
        <v>77</v>
      </c>
      <c r="CC6" s="113">
        <v>78</v>
      </c>
      <c r="CD6" s="113">
        <v>79</v>
      </c>
      <c r="CE6" s="113">
        <v>80</v>
      </c>
      <c r="CF6" s="113">
        <v>81</v>
      </c>
      <c r="CG6" s="113">
        <v>82</v>
      </c>
      <c r="CH6" s="113">
        <v>83</v>
      </c>
      <c r="CI6" s="113">
        <v>84</v>
      </c>
      <c r="CJ6" s="113">
        <v>85</v>
      </c>
      <c r="CK6" s="113">
        <v>86</v>
      </c>
      <c r="CL6" s="113">
        <v>87</v>
      </c>
      <c r="CM6" s="113">
        <v>88</v>
      </c>
      <c r="CN6" s="113">
        <v>89</v>
      </c>
      <c r="CO6" s="113">
        <v>90</v>
      </c>
    </row>
    <row r="7" spans="1:105" s="14" customFormat="1" ht="12.75">
      <c r="A7" s="11" t="s">
        <v>126</v>
      </c>
      <c r="B7" s="40">
        <v>1</v>
      </c>
      <c r="C7" s="9" t="s">
        <v>161</v>
      </c>
      <c r="D7" s="10">
        <v>1951</v>
      </c>
      <c r="E7" s="8" t="s">
        <v>87</v>
      </c>
      <c r="F7" s="8" t="s">
        <v>31</v>
      </c>
      <c r="G7" s="13">
        <v>1</v>
      </c>
      <c r="H7" s="8">
        <v>4</v>
      </c>
      <c r="I7" s="8" t="s">
        <v>146</v>
      </c>
      <c r="J7" s="43">
        <v>73573</v>
      </c>
      <c r="K7" s="43">
        <v>3735</v>
      </c>
      <c r="L7" s="217" t="s">
        <v>209</v>
      </c>
      <c r="M7" s="43">
        <v>4498</v>
      </c>
      <c r="N7" s="43">
        <v>0</v>
      </c>
      <c r="O7" s="43">
        <v>86</v>
      </c>
      <c r="P7" s="43">
        <v>256</v>
      </c>
      <c r="Q7" s="43">
        <v>80</v>
      </c>
      <c r="R7" s="43">
        <v>160</v>
      </c>
      <c r="S7" s="36">
        <v>7626.33</v>
      </c>
      <c r="T7" s="36">
        <v>4813.1</v>
      </c>
      <c r="U7" s="43">
        <v>72</v>
      </c>
      <c r="V7" s="38">
        <v>6485.67</v>
      </c>
      <c r="W7" s="38">
        <v>4079.49</v>
      </c>
      <c r="X7" s="12">
        <f>O7-U7</f>
        <v>14</v>
      </c>
      <c r="Y7" s="37">
        <f>S7-V7</f>
        <v>1140.6599999999999</v>
      </c>
      <c r="Z7" s="37">
        <f>T7-W7</f>
        <v>733.6100000000006</v>
      </c>
      <c r="AA7" s="97">
        <f>AB7+AE7</f>
        <v>5049.5</v>
      </c>
      <c r="AB7" s="36">
        <f>AC7+AD7</f>
        <v>5049.5</v>
      </c>
      <c r="AC7" s="39"/>
      <c r="AD7" s="36">
        <v>5049.5</v>
      </c>
      <c r="AE7" s="39"/>
      <c r="AF7" s="96">
        <f>S7+AA7</f>
        <v>12675.83</v>
      </c>
      <c r="AG7" s="43"/>
      <c r="AH7" s="43"/>
      <c r="AI7" s="43">
        <v>5</v>
      </c>
      <c r="AJ7" s="43"/>
      <c r="AK7" s="43"/>
      <c r="AL7" s="43">
        <v>2</v>
      </c>
      <c r="AM7" s="43">
        <v>9516</v>
      </c>
      <c r="AN7" s="43">
        <v>2752</v>
      </c>
      <c r="AO7" s="43">
        <v>735</v>
      </c>
      <c r="AP7" s="43">
        <v>540</v>
      </c>
      <c r="AQ7" s="43">
        <v>210</v>
      </c>
      <c r="AR7" s="43">
        <f>SUM(AS7+AT7)</f>
        <v>4225</v>
      </c>
      <c r="AS7" s="43"/>
      <c r="AT7" s="43">
        <v>4225</v>
      </c>
      <c r="AU7" s="43"/>
      <c r="AV7" s="43">
        <v>247</v>
      </c>
      <c r="AW7" s="43">
        <v>3724</v>
      </c>
      <c r="AX7" s="43">
        <v>3724</v>
      </c>
      <c r="AY7" s="43">
        <v>25</v>
      </c>
      <c r="AZ7" s="43">
        <v>10</v>
      </c>
      <c r="BA7" s="43">
        <v>346</v>
      </c>
      <c r="BB7" s="43">
        <v>863</v>
      </c>
      <c r="BC7" s="43"/>
      <c r="BD7" s="43">
        <v>7238</v>
      </c>
      <c r="BE7" s="43">
        <v>190</v>
      </c>
      <c r="BF7" s="43"/>
      <c r="BG7" s="43">
        <f>G7</f>
        <v>1</v>
      </c>
      <c r="BH7" s="43">
        <f>S7</f>
        <v>7626.33</v>
      </c>
      <c r="BI7" s="43">
        <f>T7</f>
        <v>4813.1</v>
      </c>
      <c r="BJ7" s="43"/>
      <c r="BK7" s="43"/>
      <c r="BL7" s="43"/>
      <c r="BM7" s="43"/>
      <c r="BN7" s="43"/>
      <c r="BO7" s="43"/>
      <c r="BP7" s="43"/>
      <c r="BQ7" s="43">
        <v>4</v>
      </c>
      <c r="BR7" s="43">
        <f>AX7</f>
        <v>3724</v>
      </c>
      <c r="BS7" s="43">
        <v>5820</v>
      </c>
      <c r="BT7" s="43"/>
      <c r="BU7" s="43">
        <f>AM7</f>
        <v>9516</v>
      </c>
      <c r="BV7" s="12">
        <f>AI7*71.04</f>
        <v>355.20000000000005</v>
      </c>
      <c r="BW7" s="12">
        <f>AI7*37.13</f>
        <v>185.65</v>
      </c>
      <c r="BX7" s="12">
        <f>AI7*0</f>
        <v>0</v>
      </c>
      <c r="BY7" s="43">
        <v>3</v>
      </c>
      <c r="BZ7" s="43"/>
      <c r="CA7" s="43"/>
      <c r="CB7" s="43"/>
      <c r="CC7" s="43"/>
      <c r="CD7" s="114">
        <v>803.2</v>
      </c>
      <c r="CE7" s="114"/>
      <c r="CF7" s="114"/>
      <c r="CG7" s="114"/>
      <c r="CH7" s="114">
        <v>3724</v>
      </c>
      <c r="CI7" s="114"/>
      <c r="CJ7" s="114">
        <v>3724</v>
      </c>
      <c r="CK7" s="99">
        <v>40</v>
      </c>
      <c r="CL7" s="115"/>
      <c r="CM7" s="58">
        <f>CD7+CE7+CF7+CG7+CH7+CI7+CJ7+CK7+CL7</f>
        <v>8291.2</v>
      </c>
      <c r="CN7" s="46">
        <v>6860</v>
      </c>
      <c r="CO7" s="46">
        <f>CN7-K7</f>
        <v>3125</v>
      </c>
      <c r="CP7" s="43"/>
      <c r="CQ7" s="15"/>
      <c r="CR7" s="15"/>
      <c r="CS7" s="43"/>
      <c r="CT7" s="43"/>
      <c r="CV7" s="55" t="str">
        <f>IF(CW7&gt;0,G7,"0")</f>
        <v>0</v>
      </c>
      <c r="CW7" s="54">
        <f>AS7</f>
        <v>0</v>
      </c>
      <c r="CX7" s="55">
        <f>IF(CY7&gt;0,G7,"0")</f>
        <v>1</v>
      </c>
      <c r="CY7" s="54">
        <f>AT7</f>
        <v>4225</v>
      </c>
      <c r="CZ7" s="54">
        <f>CV7+CX7</f>
        <v>1</v>
      </c>
      <c r="DA7" s="54">
        <f>CW7+CY7</f>
        <v>4225</v>
      </c>
    </row>
    <row r="8" spans="1:105" s="14" customFormat="1" ht="12.75">
      <c r="A8" s="11" t="s">
        <v>126</v>
      </c>
      <c r="B8" s="40">
        <v>2</v>
      </c>
      <c r="C8" s="9" t="s">
        <v>35</v>
      </c>
      <c r="D8" s="10">
        <v>1993</v>
      </c>
      <c r="E8" s="8" t="s">
        <v>87</v>
      </c>
      <c r="F8" s="8" t="s">
        <v>30</v>
      </c>
      <c r="G8" s="13">
        <v>1</v>
      </c>
      <c r="H8" s="8">
        <v>9</v>
      </c>
      <c r="I8" s="8" t="s">
        <v>145</v>
      </c>
      <c r="J8" s="43">
        <v>29497</v>
      </c>
      <c r="K8" s="43">
        <v>1170</v>
      </c>
      <c r="L8" s="217" t="s">
        <v>210</v>
      </c>
      <c r="M8" s="43"/>
      <c r="N8" s="43">
        <v>1181</v>
      </c>
      <c r="O8" s="43">
        <v>101</v>
      </c>
      <c r="P8" s="43">
        <v>277</v>
      </c>
      <c r="Q8" s="43">
        <v>80</v>
      </c>
      <c r="R8" s="43">
        <v>250</v>
      </c>
      <c r="S8" s="36">
        <v>6588.2</v>
      </c>
      <c r="T8" s="36">
        <v>4098.7</v>
      </c>
      <c r="U8" s="43">
        <v>95</v>
      </c>
      <c r="V8" s="39">
        <v>6174.2</v>
      </c>
      <c r="W8" s="39">
        <v>3837.9</v>
      </c>
      <c r="X8" s="12">
        <f>O8-U8</f>
        <v>6</v>
      </c>
      <c r="Y8" s="37">
        <f>S8-V8</f>
        <v>414</v>
      </c>
      <c r="Z8" s="37">
        <f>T8-W8</f>
        <v>260.7999999999997</v>
      </c>
      <c r="AA8" s="97">
        <f>AB8+AE8</f>
        <v>95.1</v>
      </c>
      <c r="AB8" s="36">
        <f>AC8+AD8</f>
        <v>0</v>
      </c>
      <c r="AC8" s="39"/>
      <c r="AD8" s="36">
        <v>0</v>
      </c>
      <c r="AE8" s="39">
        <v>95.1</v>
      </c>
      <c r="AF8" s="96">
        <f>S8+AA8</f>
        <v>6683.3</v>
      </c>
      <c r="AG8" s="43"/>
      <c r="AH8" s="43">
        <v>3</v>
      </c>
      <c r="AI8" s="43">
        <v>3</v>
      </c>
      <c r="AJ8" s="43">
        <v>3</v>
      </c>
      <c r="AK8" s="43"/>
      <c r="AL8" s="43">
        <v>3</v>
      </c>
      <c r="AM8" s="43">
        <v>5400</v>
      </c>
      <c r="AN8" s="43"/>
      <c r="AO8" s="43">
        <v>413</v>
      </c>
      <c r="AP8" s="43">
        <v>360</v>
      </c>
      <c r="AQ8" s="43">
        <v>429</v>
      </c>
      <c r="AR8" s="43">
        <f>SUM(AS8+AT8)</f>
        <v>10869</v>
      </c>
      <c r="AS8" s="43"/>
      <c r="AT8" s="43">
        <v>10869</v>
      </c>
      <c r="AU8" s="43">
        <v>2970</v>
      </c>
      <c r="AV8" s="43">
        <v>167</v>
      </c>
      <c r="AW8" s="43">
        <v>1102</v>
      </c>
      <c r="AX8" s="43">
        <v>1102</v>
      </c>
      <c r="AY8" s="43">
        <v>51</v>
      </c>
      <c r="AZ8" s="43">
        <v>6</v>
      </c>
      <c r="BA8" s="43">
        <v>388</v>
      </c>
      <c r="BB8" s="43">
        <v>689</v>
      </c>
      <c r="BC8" s="43">
        <v>2</v>
      </c>
      <c r="BD8" s="43">
        <v>11400</v>
      </c>
      <c r="BE8" s="43">
        <v>4905</v>
      </c>
      <c r="BF8" s="43">
        <v>135</v>
      </c>
      <c r="BG8" s="43"/>
      <c r="BH8" s="43"/>
      <c r="BI8" s="43"/>
      <c r="BJ8" s="43">
        <f>G8</f>
        <v>1</v>
      </c>
      <c r="BK8" s="43">
        <f>S8</f>
        <v>6588.2</v>
      </c>
      <c r="BL8" s="43">
        <f>T8</f>
        <v>4098.7</v>
      </c>
      <c r="BM8" s="43"/>
      <c r="BN8" s="43"/>
      <c r="BO8" s="43"/>
      <c r="BP8" s="43"/>
      <c r="BQ8" s="43">
        <v>3</v>
      </c>
      <c r="BR8" s="43"/>
      <c r="BS8" s="43"/>
      <c r="BT8" s="43"/>
      <c r="BU8" s="43"/>
      <c r="BV8" s="12">
        <f>AI8*113.64</f>
        <v>340.92</v>
      </c>
      <c r="BW8" s="12">
        <f>AI8*55.25</f>
        <v>165.75</v>
      </c>
      <c r="BX8" s="12">
        <f>AI8*261.83</f>
        <v>785.49</v>
      </c>
      <c r="BY8" s="43">
        <v>2</v>
      </c>
      <c r="BZ8" s="43"/>
      <c r="CA8" s="43"/>
      <c r="CB8" s="43"/>
      <c r="CC8" s="43">
        <v>3</v>
      </c>
      <c r="CD8" s="114">
        <v>565.0999999999999</v>
      </c>
      <c r="CE8" s="114">
        <v>637</v>
      </c>
      <c r="CF8" s="114">
        <v>8.7</v>
      </c>
      <c r="CG8" s="114">
        <v>15.5</v>
      </c>
      <c r="CH8" s="114">
        <f>895.8+20</f>
        <v>915.8</v>
      </c>
      <c r="CI8" s="114"/>
      <c r="CJ8" s="114">
        <v>1102</v>
      </c>
      <c r="CK8" s="99">
        <v>68.5</v>
      </c>
      <c r="CL8" s="115">
        <v>81.9</v>
      </c>
      <c r="CM8" s="58">
        <f>CD8+CE8+CF8+CG8+CH8+CI8+CJ8+CK8+CL8</f>
        <v>3394.5</v>
      </c>
      <c r="CN8" s="46">
        <v>3914</v>
      </c>
      <c r="CO8" s="46">
        <f>CN8-K8</f>
        <v>2744</v>
      </c>
      <c r="CP8" s="43"/>
      <c r="CQ8" s="15"/>
      <c r="CR8" s="15"/>
      <c r="CS8" s="43"/>
      <c r="CT8" s="43"/>
      <c r="CV8" s="55" t="str">
        <f>IF(CW8&gt;0,G8,"0")</f>
        <v>0</v>
      </c>
      <c r="CW8" s="54">
        <f>AS8</f>
        <v>0</v>
      </c>
      <c r="CX8" s="55">
        <f>IF(CY8&gt;0,G8,"0")</f>
        <v>1</v>
      </c>
      <c r="CY8" s="54">
        <f>AT8</f>
        <v>10869</v>
      </c>
      <c r="CZ8" s="54">
        <f>CV8+CX8</f>
        <v>1</v>
      </c>
      <c r="DA8" s="54">
        <f>CW8+CY8</f>
        <v>10869</v>
      </c>
    </row>
    <row r="9" spans="1:105" ht="12.75">
      <c r="A9" s="11" t="s">
        <v>126</v>
      </c>
      <c r="B9" s="40">
        <v>3</v>
      </c>
      <c r="C9" s="9" t="s">
        <v>97</v>
      </c>
      <c r="D9" s="10">
        <v>1992</v>
      </c>
      <c r="E9" s="8" t="s">
        <v>87</v>
      </c>
      <c r="F9" s="8" t="s">
        <v>29</v>
      </c>
      <c r="G9" s="13">
        <v>1</v>
      </c>
      <c r="H9" s="8">
        <v>9</v>
      </c>
      <c r="I9" s="8" t="s">
        <v>145</v>
      </c>
      <c r="J9" s="43">
        <v>17018</v>
      </c>
      <c r="K9" s="43">
        <v>706</v>
      </c>
      <c r="L9" s="217" t="s">
        <v>211</v>
      </c>
      <c r="M9" s="43"/>
      <c r="N9" s="43">
        <v>695</v>
      </c>
      <c r="O9" s="43">
        <v>62</v>
      </c>
      <c r="P9" s="43">
        <v>169</v>
      </c>
      <c r="Q9" s="43">
        <v>62</v>
      </c>
      <c r="R9" s="43">
        <v>142</v>
      </c>
      <c r="S9" s="36">
        <v>4417.7</v>
      </c>
      <c r="T9" s="36">
        <v>2632.7</v>
      </c>
      <c r="U9" s="43">
        <v>59</v>
      </c>
      <c r="V9" s="38">
        <v>4228.4</v>
      </c>
      <c r="W9" s="38">
        <v>2524.9</v>
      </c>
      <c r="X9" s="12">
        <f>O9-U9</f>
        <v>3</v>
      </c>
      <c r="Y9" s="37">
        <f>S9-V9</f>
        <v>189.30000000000018</v>
      </c>
      <c r="Z9" s="37">
        <f>T9-W9</f>
        <v>107.79999999999973</v>
      </c>
      <c r="AA9" s="97">
        <f>AB9+AE9</f>
        <v>0</v>
      </c>
      <c r="AB9" s="36">
        <f>AC9+AD9</f>
        <v>0</v>
      </c>
      <c r="AC9" s="39"/>
      <c r="AD9" s="36">
        <v>0</v>
      </c>
      <c r="AE9" s="39"/>
      <c r="AF9" s="96">
        <f>S9+AA9</f>
        <v>4417.7</v>
      </c>
      <c r="AG9" s="43"/>
      <c r="AH9" s="43">
        <v>2</v>
      </c>
      <c r="AI9" s="43">
        <v>2</v>
      </c>
      <c r="AJ9" s="43">
        <v>2</v>
      </c>
      <c r="AK9" s="43"/>
      <c r="AL9" s="43">
        <v>2</v>
      </c>
      <c r="AM9" s="43">
        <v>3930</v>
      </c>
      <c r="AN9" s="43"/>
      <c r="AO9" s="43">
        <v>262</v>
      </c>
      <c r="AP9" s="43">
        <v>157</v>
      </c>
      <c r="AQ9" s="43">
        <v>140</v>
      </c>
      <c r="AR9" s="43">
        <f>SUM(AS9+AT9)</f>
        <v>7246</v>
      </c>
      <c r="AS9" s="43">
        <v>7246</v>
      </c>
      <c r="AT9" s="43"/>
      <c r="AU9" s="43">
        <v>2140</v>
      </c>
      <c r="AV9" s="43">
        <v>136</v>
      </c>
      <c r="AW9" s="43">
        <v>663</v>
      </c>
      <c r="AX9" s="43">
        <v>663</v>
      </c>
      <c r="AY9" s="43">
        <v>34</v>
      </c>
      <c r="AZ9" s="43">
        <v>4</v>
      </c>
      <c r="BA9" s="43">
        <v>231</v>
      </c>
      <c r="BB9" s="43">
        <v>603</v>
      </c>
      <c r="BC9" s="43">
        <v>2</v>
      </c>
      <c r="BD9" s="43">
        <v>3570</v>
      </c>
      <c r="BE9" s="43">
        <v>1400</v>
      </c>
      <c r="BF9" s="43">
        <v>90</v>
      </c>
      <c r="BG9" s="43"/>
      <c r="BH9" s="43"/>
      <c r="BI9" s="43"/>
      <c r="BJ9" s="43">
        <f>G9</f>
        <v>1</v>
      </c>
      <c r="BK9" s="43">
        <f>S9</f>
        <v>4417.7</v>
      </c>
      <c r="BL9" s="43">
        <f>T9</f>
        <v>2632.7</v>
      </c>
      <c r="BM9" s="43"/>
      <c r="BN9" s="43"/>
      <c r="BO9" s="43"/>
      <c r="BP9" s="43"/>
      <c r="BQ9" s="43">
        <v>2</v>
      </c>
      <c r="BR9" s="43">
        <f>AX9</f>
        <v>663</v>
      </c>
      <c r="BS9" s="43">
        <v>6863</v>
      </c>
      <c r="BT9" s="43"/>
      <c r="BU9" s="43"/>
      <c r="BV9" s="12">
        <f>AI9*245.39</f>
        <v>490.78</v>
      </c>
      <c r="BW9" s="12">
        <f>AI9*49.92</f>
        <v>99.84</v>
      </c>
      <c r="BX9" s="12">
        <f>AI9*0</f>
        <v>0</v>
      </c>
      <c r="BY9" s="43">
        <v>2</v>
      </c>
      <c r="BZ9" s="43"/>
      <c r="CA9" s="43"/>
      <c r="CB9" s="43"/>
      <c r="CC9" s="43">
        <v>2</v>
      </c>
      <c r="CD9" s="114">
        <v>453.7</v>
      </c>
      <c r="CE9" s="114">
        <v>72</v>
      </c>
      <c r="CF9" s="114">
        <v>5.2</v>
      </c>
      <c r="CG9" s="114">
        <v>0</v>
      </c>
      <c r="CH9" s="114">
        <f>592.6+16.4</f>
        <v>609</v>
      </c>
      <c r="CI9" s="114"/>
      <c r="CJ9" s="114">
        <v>663</v>
      </c>
      <c r="CK9" s="99">
        <v>31.3</v>
      </c>
      <c r="CL9" s="115">
        <v>12.2</v>
      </c>
      <c r="CM9" s="58">
        <f>CD9+CE9+CF9+CG9+CH9+CI9+CJ9+CK9+CL9</f>
        <v>1846.4</v>
      </c>
      <c r="CN9" s="46">
        <v>1646</v>
      </c>
      <c r="CO9" s="46">
        <f>CN9-K9</f>
        <v>940</v>
      </c>
      <c r="CP9" s="43"/>
      <c r="CQ9" s="15"/>
      <c r="CR9" s="15"/>
      <c r="CS9" s="43"/>
      <c r="CT9" s="43"/>
      <c r="CV9" s="55">
        <f>IF(CW9&gt;0,G9,"0")</f>
        <v>1</v>
      </c>
      <c r="CW9" s="54">
        <f>AS9</f>
        <v>7246</v>
      </c>
      <c r="CX9" s="55" t="str">
        <f>IF(CY9&gt;0,G9,"0")</f>
        <v>0</v>
      </c>
      <c r="CY9" s="54">
        <f>AT9</f>
        <v>0</v>
      </c>
      <c r="CZ9" s="54">
        <f>CV9+CX9</f>
        <v>1</v>
      </c>
      <c r="DA9" s="54">
        <f>CW9+CY9</f>
        <v>7246</v>
      </c>
    </row>
    <row r="10" spans="1:105" ht="25.5">
      <c r="A10" s="11" t="s">
        <v>126</v>
      </c>
      <c r="B10" s="40">
        <v>4</v>
      </c>
      <c r="C10" s="9" t="s">
        <v>167</v>
      </c>
      <c r="D10" s="10">
        <v>1983</v>
      </c>
      <c r="E10" s="8" t="s">
        <v>87</v>
      </c>
      <c r="F10" s="8" t="s">
        <v>30</v>
      </c>
      <c r="G10" s="13">
        <v>1</v>
      </c>
      <c r="H10" s="8">
        <v>9</v>
      </c>
      <c r="I10" s="8" t="s">
        <v>163</v>
      </c>
      <c r="J10" s="43">
        <f>39273+19324+39325+18950</f>
        <v>116872</v>
      </c>
      <c r="K10" s="43">
        <f>1509+760+1540+542</f>
        <v>4351</v>
      </c>
      <c r="L10" s="218" t="s">
        <v>212</v>
      </c>
      <c r="M10" s="43"/>
      <c r="N10" s="43">
        <f>1452+721+528+1462</f>
        <v>4163</v>
      </c>
      <c r="O10" s="43">
        <v>402</v>
      </c>
      <c r="P10" s="43">
        <v>1011</v>
      </c>
      <c r="Q10" s="43">
        <v>350</v>
      </c>
      <c r="R10" s="43">
        <v>892</v>
      </c>
      <c r="S10" s="36">
        <v>25019</v>
      </c>
      <c r="T10" s="36">
        <v>15375.3</v>
      </c>
      <c r="U10" s="43">
        <v>343</v>
      </c>
      <c r="V10" s="36">
        <v>21305.3</v>
      </c>
      <c r="W10" s="36">
        <v>13080.6</v>
      </c>
      <c r="X10" s="12">
        <f>O10-U10</f>
        <v>59</v>
      </c>
      <c r="Y10" s="37">
        <f>S10-V10</f>
        <v>3713.7000000000007</v>
      </c>
      <c r="Z10" s="37">
        <f>T10-W10</f>
        <v>2294.699999999999</v>
      </c>
      <c r="AA10" s="97">
        <f>AB10+AE10</f>
        <v>103.7</v>
      </c>
      <c r="AB10" s="36">
        <f>AC10+AD10</f>
        <v>103.7</v>
      </c>
      <c r="AC10" s="39"/>
      <c r="AD10" s="36">
        <v>103.7</v>
      </c>
      <c r="AE10" s="39"/>
      <c r="AF10" s="96">
        <f>S10+AA10</f>
        <v>25122.7</v>
      </c>
      <c r="AG10" s="43"/>
      <c r="AH10" s="43">
        <f>4+2+1+4</f>
        <v>11</v>
      </c>
      <c r="AI10" s="43">
        <f>4+2+1+4</f>
        <v>11</v>
      </c>
      <c r="AJ10" s="43">
        <f>4+2+1+4</f>
        <v>11</v>
      </c>
      <c r="AK10" s="43"/>
      <c r="AL10" s="43">
        <f>4+2+1+4</f>
        <v>11</v>
      </c>
      <c r="AM10" s="43">
        <f>7020+3480+2130+6570</f>
        <v>19200</v>
      </c>
      <c r="AN10" s="43"/>
      <c r="AO10" s="43">
        <f>1535</f>
        <v>1535</v>
      </c>
      <c r="AP10" s="43">
        <f>549+320+102+550</f>
        <v>1521</v>
      </c>
      <c r="AQ10" s="43">
        <f>572+286+143+572</f>
        <v>1573</v>
      </c>
      <c r="AR10" s="43">
        <f>SUM(AS10+AT10)</f>
        <v>41666</v>
      </c>
      <c r="AS10" s="43">
        <f>14492+7246+5436+14492</f>
        <v>41666</v>
      </c>
      <c r="AT10" s="43"/>
      <c r="AU10" s="43">
        <f>3800+1900+0+3800</f>
        <v>9500</v>
      </c>
      <c r="AV10" s="43">
        <f>337+164+164+130</f>
        <v>795</v>
      </c>
      <c r="AW10" s="43">
        <f>1428+702+521+1430</f>
        <v>4081</v>
      </c>
      <c r="AX10" s="43">
        <f>1428+702+521+1430</f>
        <v>4081</v>
      </c>
      <c r="AY10" s="43">
        <f>68+34+17+68</f>
        <v>187</v>
      </c>
      <c r="AZ10" s="43">
        <f>8+4+8+2</f>
        <v>22</v>
      </c>
      <c r="BA10" s="43">
        <f>514+253+505+141</f>
        <v>1413</v>
      </c>
      <c r="BB10" s="43">
        <f>1354+673+1345+459</f>
        <v>3831</v>
      </c>
      <c r="BC10" s="43"/>
      <c r="BD10" s="43">
        <f>15200+7600+3800+15200</f>
        <v>41800</v>
      </c>
      <c r="BE10" s="43">
        <f>6540+3270+1635+6540</f>
        <v>17985</v>
      </c>
      <c r="BF10" s="43">
        <f>380+90+45+380</f>
        <v>895</v>
      </c>
      <c r="BG10" s="43"/>
      <c r="BH10" s="43"/>
      <c r="BI10" s="43"/>
      <c r="BJ10" s="43"/>
      <c r="BK10" s="43"/>
      <c r="BL10" s="43"/>
      <c r="BM10" s="43">
        <f>G10</f>
        <v>1</v>
      </c>
      <c r="BN10" s="43">
        <f>S10</f>
        <v>25019</v>
      </c>
      <c r="BO10" s="43">
        <f>T10</f>
        <v>15375.3</v>
      </c>
      <c r="BP10" s="43"/>
      <c r="BQ10" s="43">
        <v>6</v>
      </c>
      <c r="BR10" s="43"/>
      <c r="BS10" s="43"/>
      <c r="BT10" s="43"/>
      <c r="BU10" s="43">
        <v>6570</v>
      </c>
      <c r="BV10" s="12">
        <f>AI10*113.64</f>
        <v>1250.04</v>
      </c>
      <c r="BW10" s="12">
        <f>AI10*55.25</f>
        <v>607.75</v>
      </c>
      <c r="BX10" s="12">
        <f>AI10*261.83</f>
        <v>2880.1299999999997</v>
      </c>
      <c r="BY10" s="43">
        <v>6</v>
      </c>
      <c r="BZ10" s="43"/>
      <c r="CA10" s="43"/>
      <c r="CB10" s="43"/>
      <c r="CC10" s="43">
        <v>11</v>
      </c>
      <c r="CD10" s="114">
        <v>1808.3000000000002</v>
      </c>
      <c r="CE10" s="114">
        <v>2565.6000000000004</v>
      </c>
      <c r="CF10" s="114">
        <v>48</v>
      </c>
      <c r="CG10" s="114">
        <v>40.5</v>
      </c>
      <c r="CH10" s="114">
        <f>3803.3+182.4</f>
        <v>3985.7000000000003</v>
      </c>
      <c r="CI10" s="114"/>
      <c r="CJ10" s="114">
        <v>4081</v>
      </c>
      <c r="CK10" s="99">
        <v>171.3</v>
      </c>
      <c r="CL10" s="115">
        <v>53.1</v>
      </c>
      <c r="CM10" s="58">
        <f>CD10+CE10+CF10+CG10+CH10+CI10+CJ10+CK10+CL10</f>
        <v>12753.5</v>
      </c>
      <c r="CN10" s="46">
        <f>3030+6440</f>
        <v>9470</v>
      </c>
      <c r="CO10" s="46">
        <f>CN10-K10</f>
        <v>5119</v>
      </c>
      <c r="CP10" s="43"/>
      <c r="CQ10" s="15"/>
      <c r="CR10" s="15"/>
      <c r="CS10" s="43"/>
      <c r="CT10" s="43"/>
      <c r="CV10" s="55">
        <f>IF(CW10&gt;0,G10,"0")</f>
        <v>1</v>
      </c>
      <c r="CW10" s="54">
        <f>AS10</f>
        <v>41666</v>
      </c>
      <c r="CX10" s="55" t="str">
        <f>IF(CY10&gt;0,G10,"0")</f>
        <v>0</v>
      </c>
      <c r="CY10" s="54">
        <f>AT10</f>
        <v>0</v>
      </c>
      <c r="CZ10" s="54">
        <f>CV10+CX10</f>
        <v>1</v>
      </c>
      <c r="DA10" s="54">
        <f>CW10+CY10</f>
        <v>41666</v>
      </c>
    </row>
    <row r="11" spans="1:105" ht="12.75">
      <c r="A11" s="11" t="s">
        <v>126</v>
      </c>
      <c r="B11" s="40">
        <v>5</v>
      </c>
      <c r="C11" s="9" t="s">
        <v>98</v>
      </c>
      <c r="D11" s="10">
        <v>1950</v>
      </c>
      <c r="E11" s="8" t="s">
        <v>87</v>
      </c>
      <c r="F11" s="8" t="s">
        <v>31</v>
      </c>
      <c r="G11" s="13">
        <v>1</v>
      </c>
      <c r="H11" s="8">
        <v>5</v>
      </c>
      <c r="I11" s="8" t="s">
        <v>146</v>
      </c>
      <c r="J11" s="43">
        <v>51096</v>
      </c>
      <c r="K11" s="43">
        <v>1976</v>
      </c>
      <c r="L11" s="217" t="s">
        <v>213</v>
      </c>
      <c r="M11" s="43">
        <v>2406</v>
      </c>
      <c r="N11" s="43">
        <v>0</v>
      </c>
      <c r="O11" s="43">
        <v>64</v>
      </c>
      <c r="P11" s="43">
        <v>166</v>
      </c>
      <c r="Q11" s="43">
        <v>64</v>
      </c>
      <c r="R11" s="43">
        <v>140</v>
      </c>
      <c r="S11" s="36">
        <v>4780.04</v>
      </c>
      <c r="T11" s="36">
        <v>2973.55</v>
      </c>
      <c r="U11" s="43">
        <v>57</v>
      </c>
      <c r="V11" s="38">
        <v>4267.8</v>
      </c>
      <c r="W11" s="38">
        <v>2648.58</v>
      </c>
      <c r="X11" s="12">
        <f>O11-U11</f>
        <v>7</v>
      </c>
      <c r="Y11" s="37">
        <f>S11-V11</f>
        <v>512.2399999999998</v>
      </c>
      <c r="Z11" s="37">
        <f>T11-W11</f>
        <v>324.97000000000025</v>
      </c>
      <c r="AA11" s="97">
        <f>AB11+AE11</f>
        <v>2838</v>
      </c>
      <c r="AB11" s="36">
        <f>AC11+AD11</f>
        <v>958.8</v>
      </c>
      <c r="AC11" s="39"/>
      <c r="AD11" s="36">
        <v>958.8</v>
      </c>
      <c r="AE11" s="39">
        <v>1879.2</v>
      </c>
      <c r="AF11" s="96">
        <f>S11+AA11</f>
        <v>7618.04</v>
      </c>
      <c r="AG11" s="43"/>
      <c r="AH11" s="43"/>
      <c r="AI11" s="43">
        <v>5</v>
      </c>
      <c r="AJ11" s="43"/>
      <c r="AK11" s="43"/>
      <c r="AL11" s="43">
        <v>1</v>
      </c>
      <c r="AM11" s="43">
        <v>4382</v>
      </c>
      <c r="AN11" s="43">
        <v>1376</v>
      </c>
      <c r="AO11" s="43">
        <v>435</v>
      </c>
      <c r="AP11" s="43">
        <v>254</v>
      </c>
      <c r="AQ11" s="43">
        <v>150</v>
      </c>
      <c r="AR11" s="43">
        <f>SUM(AS11+AT11)</f>
        <v>4965</v>
      </c>
      <c r="AS11" s="43"/>
      <c r="AT11" s="43">
        <v>4965</v>
      </c>
      <c r="AU11" s="43"/>
      <c r="AV11" s="43">
        <v>157</v>
      </c>
      <c r="AW11" s="43">
        <v>1968</v>
      </c>
      <c r="AX11" s="43">
        <v>1968</v>
      </c>
      <c r="AY11" s="43">
        <v>25</v>
      </c>
      <c r="AZ11" s="43">
        <v>10</v>
      </c>
      <c r="BA11" s="43">
        <v>238</v>
      </c>
      <c r="BB11" s="43">
        <v>628</v>
      </c>
      <c r="BC11" s="43"/>
      <c r="BD11" s="43">
        <v>4868</v>
      </c>
      <c r="BE11" s="43">
        <v>190</v>
      </c>
      <c r="BF11" s="43"/>
      <c r="BG11" s="43">
        <f>G11</f>
        <v>1</v>
      </c>
      <c r="BH11" s="43">
        <f>S11</f>
        <v>4780.04</v>
      </c>
      <c r="BI11" s="43">
        <f>T11</f>
        <v>2973.55</v>
      </c>
      <c r="BJ11" s="43"/>
      <c r="BK11" s="43"/>
      <c r="BL11" s="43"/>
      <c r="BM11" s="43"/>
      <c r="BN11" s="43"/>
      <c r="BO11" s="43"/>
      <c r="BP11" s="43"/>
      <c r="BQ11" s="43">
        <v>2</v>
      </c>
      <c r="BR11" s="43">
        <f>AX11</f>
        <v>1968</v>
      </c>
      <c r="BS11" s="43">
        <v>5180</v>
      </c>
      <c r="BT11" s="43"/>
      <c r="BU11" s="43">
        <f>AM11</f>
        <v>4382</v>
      </c>
      <c r="BV11" s="12">
        <f>AI11*71.04</f>
        <v>355.20000000000005</v>
      </c>
      <c r="BW11" s="12">
        <f>AI11*37.13</f>
        <v>185.65</v>
      </c>
      <c r="BX11" s="12">
        <f>AI11*0</f>
        <v>0</v>
      </c>
      <c r="BY11" s="43">
        <v>3</v>
      </c>
      <c r="BZ11" s="43"/>
      <c r="CA11" s="43"/>
      <c r="CB11" s="43"/>
      <c r="CC11" s="43"/>
      <c r="CD11" s="114">
        <v>515.1</v>
      </c>
      <c r="CE11" s="114"/>
      <c r="CF11" s="114"/>
      <c r="CG11" s="114"/>
      <c r="CH11" s="114">
        <v>1968</v>
      </c>
      <c r="CI11" s="114"/>
      <c r="CJ11" s="114">
        <v>1968</v>
      </c>
      <c r="CK11" s="99">
        <v>18</v>
      </c>
      <c r="CL11" s="115"/>
      <c r="CM11" s="58">
        <f>CD11+CE11+CF11+CG11+CH11+CI11+CJ11+CK11+CL11</f>
        <v>4469.1</v>
      </c>
      <c r="CN11" s="46">
        <v>4174</v>
      </c>
      <c r="CO11" s="46">
        <f>CN11-K11</f>
        <v>2198</v>
      </c>
      <c r="CP11" s="43"/>
      <c r="CQ11" s="15"/>
      <c r="CR11" s="15"/>
      <c r="CS11" s="43"/>
      <c r="CT11" s="43"/>
      <c r="CV11" s="55" t="str">
        <f>IF(CW11&gt;0,G11,"0")</f>
        <v>0</v>
      </c>
      <c r="CW11" s="54">
        <f>AS11</f>
        <v>0</v>
      </c>
      <c r="CX11" s="55">
        <f>IF(CY11&gt;0,G11,"0")</f>
        <v>1</v>
      </c>
      <c r="CY11" s="54">
        <f>AT11</f>
        <v>4965</v>
      </c>
      <c r="CZ11" s="54">
        <f>CV11+CX11</f>
        <v>1</v>
      </c>
      <c r="DA11" s="54">
        <f>CW11+CY11</f>
        <v>4965</v>
      </c>
    </row>
    <row r="12" spans="1:105" ht="12.75">
      <c r="A12" s="11" t="s">
        <v>126</v>
      </c>
      <c r="B12" s="40">
        <v>6</v>
      </c>
      <c r="C12" s="9" t="s">
        <v>99</v>
      </c>
      <c r="D12" s="10">
        <v>1983</v>
      </c>
      <c r="E12" s="8" t="s">
        <v>87</v>
      </c>
      <c r="F12" s="8" t="s">
        <v>30</v>
      </c>
      <c r="G12" s="13">
        <v>1</v>
      </c>
      <c r="H12" s="8">
        <v>9</v>
      </c>
      <c r="I12" s="8" t="s">
        <v>145</v>
      </c>
      <c r="J12" s="43">
        <v>19852</v>
      </c>
      <c r="K12" s="43">
        <v>718</v>
      </c>
      <c r="L12" s="217" t="s">
        <v>214</v>
      </c>
      <c r="M12" s="43"/>
      <c r="N12" s="43">
        <v>722</v>
      </c>
      <c r="O12" s="43">
        <v>70</v>
      </c>
      <c r="P12" s="43">
        <v>196</v>
      </c>
      <c r="Q12" s="43">
        <v>70</v>
      </c>
      <c r="R12" s="43">
        <v>174</v>
      </c>
      <c r="S12" s="36">
        <v>4532.4</v>
      </c>
      <c r="T12" s="36">
        <v>2887.5</v>
      </c>
      <c r="U12" s="43">
        <v>61</v>
      </c>
      <c r="V12" s="38">
        <v>3914.3</v>
      </c>
      <c r="W12" s="38">
        <v>2491.3</v>
      </c>
      <c r="X12" s="12">
        <f>O12-U12</f>
        <v>9</v>
      </c>
      <c r="Y12" s="37">
        <f>S12-V12</f>
        <v>618.0999999999995</v>
      </c>
      <c r="Z12" s="37">
        <f>T12-W12</f>
        <v>396.1999999999998</v>
      </c>
      <c r="AA12" s="97">
        <f>AB12+AE12</f>
        <v>0</v>
      </c>
      <c r="AB12" s="36">
        <f>AC12+AD12</f>
        <v>0</v>
      </c>
      <c r="AC12" s="39"/>
      <c r="AD12" s="36">
        <v>0</v>
      </c>
      <c r="AE12" s="39"/>
      <c r="AF12" s="96">
        <f>S12+AA12</f>
        <v>4532.4</v>
      </c>
      <c r="AG12" s="43"/>
      <c r="AH12" s="43">
        <v>2</v>
      </c>
      <c r="AI12" s="43">
        <v>2</v>
      </c>
      <c r="AJ12" s="43">
        <v>2</v>
      </c>
      <c r="AK12" s="43"/>
      <c r="AL12" s="43">
        <v>2</v>
      </c>
      <c r="AM12" s="43">
        <v>3930</v>
      </c>
      <c r="AN12" s="43"/>
      <c r="AO12" s="43"/>
      <c r="AP12" s="43">
        <v>197</v>
      </c>
      <c r="AQ12" s="43">
        <v>286</v>
      </c>
      <c r="AR12" s="43">
        <f>SUM(AS12+AT12)</f>
        <v>7246</v>
      </c>
      <c r="AS12" s="43">
        <v>7246</v>
      </c>
      <c r="AT12" s="43"/>
      <c r="AU12" s="43">
        <v>2140</v>
      </c>
      <c r="AV12" s="43">
        <v>170</v>
      </c>
      <c r="AW12" s="43">
        <v>722</v>
      </c>
      <c r="AX12" s="43">
        <v>722</v>
      </c>
      <c r="AY12" s="43">
        <v>34</v>
      </c>
      <c r="AZ12" s="43">
        <v>4</v>
      </c>
      <c r="BA12" s="43">
        <v>266</v>
      </c>
      <c r="BB12" s="43">
        <v>686</v>
      </c>
      <c r="BC12" s="43"/>
      <c r="BD12" s="43">
        <v>7600</v>
      </c>
      <c r="BE12" s="43">
        <v>3270</v>
      </c>
      <c r="BF12" s="43">
        <v>90</v>
      </c>
      <c r="BG12" s="43"/>
      <c r="BH12" s="43"/>
      <c r="BI12" s="43"/>
      <c r="BJ12" s="43">
        <f>G12</f>
        <v>1</v>
      </c>
      <c r="BK12" s="43">
        <f>S12</f>
        <v>4532.4</v>
      </c>
      <c r="BL12" s="43">
        <f>T12</f>
        <v>2887.5</v>
      </c>
      <c r="BM12" s="43"/>
      <c r="BN12" s="43"/>
      <c r="BO12" s="43"/>
      <c r="BP12" s="43"/>
      <c r="BQ12" s="43">
        <v>2</v>
      </c>
      <c r="BR12" s="43"/>
      <c r="BS12" s="43"/>
      <c r="BT12" s="43"/>
      <c r="BU12" s="43"/>
      <c r="BV12" s="12">
        <f>AI12*113.64</f>
        <v>227.28</v>
      </c>
      <c r="BW12" s="12">
        <f>AI12*55.25</f>
        <v>110.5</v>
      </c>
      <c r="BX12" s="12">
        <f>AI12*261.83</f>
        <v>523.66</v>
      </c>
      <c r="BY12" s="43">
        <v>2</v>
      </c>
      <c r="BZ12" s="43"/>
      <c r="CA12" s="43"/>
      <c r="CB12" s="43"/>
      <c r="CC12" s="43">
        <v>2</v>
      </c>
      <c r="CD12" s="114">
        <v>279.8</v>
      </c>
      <c r="CE12" s="114">
        <v>491.8</v>
      </c>
      <c r="CF12" s="114">
        <v>6.4</v>
      </c>
      <c r="CG12" s="114">
        <v>1.6</v>
      </c>
      <c r="CH12" s="114">
        <f>687.5+34.5</f>
        <v>722</v>
      </c>
      <c r="CI12" s="114"/>
      <c r="CJ12" s="114">
        <v>722</v>
      </c>
      <c r="CK12" s="99">
        <v>36.6</v>
      </c>
      <c r="CL12" s="115">
        <v>9.6</v>
      </c>
      <c r="CM12" s="58">
        <f>CD12+CE12+CF12+CG12+CH12+CI12+CJ12+CK12+CL12</f>
        <v>2269.7999999999997</v>
      </c>
      <c r="CN12" s="46">
        <v>1483</v>
      </c>
      <c r="CO12" s="46">
        <f>CN12-K12</f>
        <v>765</v>
      </c>
      <c r="CP12" s="43"/>
      <c r="CQ12" s="15"/>
      <c r="CR12" s="15"/>
      <c r="CS12" s="43"/>
      <c r="CT12" s="43"/>
      <c r="CV12" s="55">
        <f>IF(CW12&gt;0,G12,"0")</f>
        <v>1</v>
      </c>
      <c r="CW12" s="54">
        <f>AS12</f>
        <v>7246</v>
      </c>
      <c r="CX12" s="55" t="str">
        <f>IF(CY12&gt;0,G12,"0")</f>
        <v>0</v>
      </c>
      <c r="CY12" s="54">
        <f>AT12</f>
        <v>0</v>
      </c>
      <c r="CZ12" s="54">
        <f>CV12+CX12</f>
        <v>1</v>
      </c>
      <c r="DA12" s="54">
        <f>CW12+CY12</f>
        <v>7246</v>
      </c>
    </row>
    <row r="13" spans="1:105" ht="12.75">
      <c r="A13" s="11" t="s">
        <v>126</v>
      </c>
      <c r="B13" s="40">
        <v>7</v>
      </c>
      <c r="C13" s="9" t="s">
        <v>100</v>
      </c>
      <c r="D13" s="10">
        <v>1983</v>
      </c>
      <c r="E13" s="8" t="s">
        <v>87</v>
      </c>
      <c r="F13" s="8" t="s">
        <v>30</v>
      </c>
      <c r="G13" s="13">
        <v>1</v>
      </c>
      <c r="H13" s="8">
        <v>9</v>
      </c>
      <c r="I13" s="8" t="s">
        <v>145</v>
      </c>
      <c r="J13" s="43">
        <v>29545</v>
      </c>
      <c r="K13" s="43">
        <v>1078</v>
      </c>
      <c r="L13" s="217" t="s">
        <v>215</v>
      </c>
      <c r="M13" s="43"/>
      <c r="N13" s="43">
        <v>1078</v>
      </c>
      <c r="O13" s="43">
        <v>105</v>
      </c>
      <c r="P13" s="43">
        <v>285</v>
      </c>
      <c r="Q13" s="43">
        <v>105</v>
      </c>
      <c r="R13" s="43">
        <v>225</v>
      </c>
      <c r="S13" s="36">
        <v>6777.4</v>
      </c>
      <c r="T13" s="36">
        <v>4254.1</v>
      </c>
      <c r="U13" s="43">
        <v>96</v>
      </c>
      <c r="V13" s="38">
        <v>6196.4</v>
      </c>
      <c r="W13" s="38">
        <v>3884.1</v>
      </c>
      <c r="X13" s="12">
        <f>O13-U13</f>
        <v>9</v>
      </c>
      <c r="Y13" s="37">
        <f>S13-V13</f>
        <v>581</v>
      </c>
      <c r="Z13" s="37">
        <f>T13-W13</f>
        <v>370.00000000000045</v>
      </c>
      <c r="AA13" s="97">
        <f>AB13+AE13</f>
        <v>0</v>
      </c>
      <c r="AB13" s="36">
        <f>AC13+AD13</f>
        <v>0</v>
      </c>
      <c r="AC13" s="39"/>
      <c r="AD13" s="36">
        <v>0</v>
      </c>
      <c r="AE13" s="39"/>
      <c r="AF13" s="96">
        <f>S13+AA13</f>
        <v>6777.4</v>
      </c>
      <c r="AG13" s="43"/>
      <c r="AH13" s="43">
        <v>3</v>
      </c>
      <c r="AI13" s="43">
        <v>3</v>
      </c>
      <c r="AJ13" s="43">
        <v>3</v>
      </c>
      <c r="AK13" s="43"/>
      <c r="AL13" s="43">
        <v>3</v>
      </c>
      <c r="AM13" s="43">
        <v>5400</v>
      </c>
      <c r="AN13" s="43"/>
      <c r="AO13" s="43">
        <v>1204</v>
      </c>
      <c r="AP13" s="43">
        <v>270</v>
      </c>
      <c r="AQ13" s="43">
        <v>429</v>
      </c>
      <c r="AR13" s="43">
        <f>SUM(AS13+AT13)</f>
        <v>10869</v>
      </c>
      <c r="AS13" s="43">
        <v>10869</v>
      </c>
      <c r="AT13" s="43"/>
      <c r="AU13" s="43">
        <v>2970</v>
      </c>
      <c r="AV13" s="43">
        <v>254</v>
      </c>
      <c r="AW13" s="43">
        <v>1078</v>
      </c>
      <c r="AX13" s="43">
        <v>1078</v>
      </c>
      <c r="AY13" s="43">
        <v>51</v>
      </c>
      <c r="AZ13" s="43">
        <v>6</v>
      </c>
      <c r="BA13" s="43">
        <v>390</v>
      </c>
      <c r="BB13" s="43">
        <v>1020</v>
      </c>
      <c r="BC13" s="43"/>
      <c r="BD13" s="43">
        <v>11400</v>
      </c>
      <c r="BE13" s="43">
        <v>4905</v>
      </c>
      <c r="BF13" s="43">
        <v>135</v>
      </c>
      <c r="BG13" s="43"/>
      <c r="BH13" s="43"/>
      <c r="BI13" s="43"/>
      <c r="BJ13" s="43">
        <f>G13</f>
        <v>1</v>
      </c>
      <c r="BK13" s="43">
        <f>S13</f>
        <v>6777.4</v>
      </c>
      <c r="BL13" s="43">
        <f>T13</f>
        <v>4254.1</v>
      </c>
      <c r="BM13" s="43"/>
      <c r="BN13" s="43"/>
      <c r="BO13" s="43"/>
      <c r="BP13" s="43"/>
      <c r="BQ13" s="43">
        <v>2</v>
      </c>
      <c r="BR13" s="43"/>
      <c r="BS13" s="43"/>
      <c r="BT13" s="43"/>
      <c r="BU13" s="43"/>
      <c r="BV13" s="12">
        <f>AI13*113.64</f>
        <v>340.92</v>
      </c>
      <c r="BW13" s="12">
        <f>AI13*55.25</f>
        <v>165.75</v>
      </c>
      <c r="BX13" s="12">
        <f>AI13*261.83</f>
        <v>785.49</v>
      </c>
      <c r="BY13" s="43">
        <v>2</v>
      </c>
      <c r="BZ13" s="43"/>
      <c r="CA13" s="43"/>
      <c r="CB13" s="43"/>
      <c r="CC13" s="43">
        <v>3</v>
      </c>
      <c r="CD13" s="114">
        <v>378.7</v>
      </c>
      <c r="CE13" s="114">
        <v>779.5</v>
      </c>
      <c r="CF13" s="114">
        <v>9</v>
      </c>
      <c r="CG13" s="114">
        <v>1.6</v>
      </c>
      <c r="CH13" s="114">
        <f>1026.7+51.3</f>
        <v>1078</v>
      </c>
      <c r="CI13" s="114"/>
      <c r="CJ13" s="114">
        <v>1078</v>
      </c>
      <c r="CK13" s="99">
        <v>59.9</v>
      </c>
      <c r="CL13" s="115">
        <v>14.4</v>
      </c>
      <c r="CM13" s="58">
        <f>CD13+CE13+CF13+CG13+CH13+CI13+CJ13+CK13+CL13</f>
        <v>3399.1000000000004</v>
      </c>
      <c r="CN13" s="46">
        <v>2351</v>
      </c>
      <c r="CO13" s="46">
        <f>CN13-K13</f>
        <v>1273</v>
      </c>
      <c r="CP13" s="43"/>
      <c r="CQ13" s="15"/>
      <c r="CR13" s="15"/>
      <c r="CS13" s="43"/>
      <c r="CT13" s="43"/>
      <c r="CV13" s="55">
        <f>IF(CW13&gt;0,G13,"0")</f>
        <v>1</v>
      </c>
      <c r="CW13" s="54">
        <f>AS13</f>
        <v>10869</v>
      </c>
      <c r="CX13" s="55" t="str">
        <f>IF(CY13&gt;0,G13,"0")</f>
        <v>0</v>
      </c>
      <c r="CY13" s="54">
        <f>AT13</f>
        <v>0</v>
      </c>
      <c r="CZ13" s="54">
        <f>CV13+CX13</f>
        <v>1</v>
      </c>
      <c r="DA13" s="54">
        <f>CW13+CY13</f>
        <v>10869</v>
      </c>
    </row>
    <row r="14" spans="1:105" ht="12.75">
      <c r="A14" s="11" t="s">
        <v>126</v>
      </c>
      <c r="B14" s="40">
        <v>8</v>
      </c>
      <c r="C14" s="9" t="s">
        <v>101</v>
      </c>
      <c r="D14" s="10">
        <v>1951</v>
      </c>
      <c r="E14" s="8" t="s">
        <v>87</v>
      </c>
      <c r="F14" s="8" t="s">
        <v>31</v>
      </c>
      <c r="G14" s="13">
        <v>1</v>
      </c>
      <c r="H14" s="8">
        <v>5</v>
      </c>
      <c r="I14" s="8" t="s">
        <v>146</v>
      </c>
      <c r="J14" s="43">
        <v>42441</v>
      </c>
      <c r="K14" s="43">
        <v>2481</v>
      </c>
      <c r="L14" s="217" t="s">
        <v>216</v>
      </c>
      <c r="M14" s="43">
        <v>2647</v>
      </c>
      <c r="N14" s="43">
        <v>0</v>
      </c>
      <c r="O14" s="43">
        <v>85</v>
      </c>
      <c r="P14" s="43">
        <v>221</v>
      </c>
      <c r="Q14" s="43">
        <v>87</v>
      </c>
      <c r="R14" s="43">
        <v>158</v>
      </c>
      <c r="S14" s="36">
        <v>6161.91</v>
      </c>
      <c r="T14" s="36">
        <v>3792.41</v>
      </c>
      <c r="U14" s="43">
        <v>71</v>
      </c>
      <c r="V14" s="38">
        <v>5089.44</v>
      </c>
      <c r="W14" s="38">
        <v>3119.47</v>
      </c>
      <c r="X14" s="12">
        <f>O14-U14</f>
        <v>14</v>
      </c>
      <c r="Y14" s="37">
        <f>S14-V14</f>
        <v>1072.4700000000003</v>
      </c>
      <c r="Z14" s="37">
        <f>T14-W14</f>
        <v>672.94</v>
      </c>
      <c r="AA14" s="97">
        <f>AB14+AE14</f>
        <v>1249.19</v>
      </c>
      <c r="AB14" s="36">
        <f>AC14+AD14</f>
        <v>967.79</v>
      </c>
      <c r="AC14" s="39"/>
      <c r="AD14" s="36">
        <v>967.79</v>
      </c>
      <c r="AE14" s="39">
        <v>281.4</v>
      </c>
      <c r="AF14" s="96">
        <f>S14+AA14</f>
        <v>7411.1</v>
      </c>
      <c r="AG14" s="43"/>
      <c r="AH14" s="43"/>
      <c r="AI14" s="43">
        <v>5</v>
      </c>
      <c r="AJ14" s="43"/>
      <c r="AK14" s="43"/>
      <c r="AL14" s="43">
        <v>1</v>
      </c>
      <c r="AM14" s="43">
        <v>4364</v>
      </c>
      <c r="AN14" s="43">
        <v>1376</v>
      </c>
      <c r="AO14" s="43">
        <v>395</v>
      </c>
      <c r="AP14" s="43">
        <v>304</v>
      </c>
      <c r="AQ14" s="43">
        <v>150</v>
      </c>
      <c r="AR14" s="43">
        <f>SUM(AS14+AT14)</f>
        <v>4965</v>
      </c>
      <c r="AS14" s="43"/>
      <c r="AT14" s="43">
        <v>4965</v>
      </c>
      <c r="AU14" s="43"/>
      <c r="AV14" s="43">
        <v>137</v>
      </c>
      <c r="AW14" s="43">
        <v>1979</v>
      </c>
      <c r="AX14" s="43">
        <v>1979</v>
      </c>
      <c r="AY14" s="43">
        <v>25</v>
      </c>
      <c r="AZ14" s="43">
        <v>10</v>
      </c>
      <c r="BA14" s="43">
        <v>229</v>
      </c>
      <c r="BB14" s="43">
        <v>757</v>
      </c>
      <c r="BC14" s="43"/>
      <c r="BD14" s="43">
        <v>6138</v>
      </c>
      <c r="BE14" s="43">
        <v>190</v>
      </c>
      <c r="BF14" s="43"/>
      <c r="BG14" s="43">
        <f>G14</f>
        <v>1</v>
      </c>
      <c r="BH14" s="43">
        <f>S14</f>
        <v>6161.91</v>
      </c>
      <c r="BI14" s="43">
        <f>T14</f>
        <v>3792.41</v>
      </c>
      <c r="BJ14" s="43"/>
      <c r="BK14" s="43"/>
      <c r="BL14" s="43"/>
      <c r="BM14" s="43"/>
      <c r="BN14" s="43"/>
      <c r="BO14" s="43"/>
      <c r="BP14" s="43"/>
      <c r="BQ14" s="43">
        <v>3</v>
      </c>
      <c r="BR14" s="43">
        <f>AX14</f>
        <v>1979</v>
      </c>
      <c r="BS14" s="43">
        <v>5180</v>
      </c>
      <c r="BT14" s="43"/>
      <c r="BU14" s="43">
        <f>AM14</f>
        <v>4364</v>
      </c>
      <c r="BV14" s="12">
        <f>AI14*71.04</f>
        <v>355.20000000000005</v>
      </c>
      <c r="BW14" s="12">
        <f>AI14*37.13</f>
        <v>185.65</v>
      </c>
      <c r="BX14" s="12">
        <f>AI14*0</f>
        <v>0</v>
      </c>
      <c r="BY14" s="43">
        <v>1</v>
      </c>
      <c r="BZ14" s="43"/>
      <c r="CA14" s="43"/>
      <c r="CB14" s="43"/>
      <c r="CC14" s="43"/>
      <c r="CD14" s="114">
        <v>736.72</v>
      </c>
      <c r="CE14" s="114"/>
      <c r="CF14" s="114"/>
      <c r="CG14" s="114"/>
      <c r="CH14" s="114">
        <v>1979</v>
      </c>
      <c r="CI14" s="114"/>
      <c r="CJ14" s="114">
        <v>1979</v>
      </c>
      <c r="CK14" s="99">
        <v>16.53</v>
      </c>
      <c r="CL14" s="115"/>
      <c r="CM14" s="58">
        <f>CD14+CE14+CF14+CG14+CH14+CI14+CJ14+CK14+CL14</f>
        <v>4711.25</v>
      </c>
      <c r="CN14" s="46">
        <v>5378</v>
      </c>
      <c r="CO14" s="46">
        <f>CN14-K14</f>
        <v>2897</v>
      </c>
      <c r="CP14" s="43"/>
      <c r="CQ14" s="15"/>
      <c r="CR14" s="15"/>
      <c r="CS14" s="43"/>
      <c r="CT14" s="43"/>
      <c r="CV14" s="55" t="str">
        <f>IF(CW14&gt;0,G14,"0")</f>
        <v>0</v>
      </c>
      <c r="CW14" s="54">
        <f>AS14</f>
        <v>0</v>
      </c>
      <c r="CX14" s="55">
        <f>IF(CY14&gt;0,G14,"0")</f>
        <v>1</v>
      </c>
      <c r="CY14" s="54">
        <f>AT14</f>
        <v>4965</v>
      </c>
      <c r="CZ14" s="54">
        <f>CV14+CX14</f>
        <v>1</v>
      </c>
      <c r="DA14" s="54">
        <f>CW14+CY14</f>
        <v>4965</v>
      </c>
    </row>
    <row r="15" spans="1:105" ht="12.75">
      <c r="A15" s="11" t="s">
        <v>127</v>
      </c>
      <c r="B15" s="40">
        <v>9</v>
      </c>
      <c r="C15" s="9" t="s">
        <v>102</v>
      </c>
      <c r="D15" s="10">
        <v>1987</v>
      </c>
      <c r="E15" s="8" t="s">
        <v>87</v>
      </c>
      <c r="F15" s="8" t="s">
        <v>30</v>
      </c>
      <c r="G15" s="13">
        <v>1</v>
      </c>
      <c r="H15" s="8">
        <v>9</v>
      </c>
      <c r="I15" s="8" t="s">
        <v>145</v>
      </c>
      <c r="J15" s="43">
        <v>30048</v>
      </c>
      <c r="K15" s="43">
        <v>1182</v>
      </c>
      <c r="L15" s="217" t="s">
        <v>217</v>
      </c>
      <c r="M15" s="43"/>
      <c r="N15" s="43">
        <v>1124</v>
      </c>
      <c r="O15" s="43">
        <v>105</v>
      </c>
      <c r="P15" s="43">
        <v>285</v>
      </c>
      <c r="Q15" s="43">
        <v>105</v>
      </c>
      <c r="R15" s="43">
        <v>263</v>
      </c>
      <c r="S15" s="36">
        <v>6820.46</v>
      </c>
      <c r="T15" s="36">
        <v>4214.3</v>
      </c>
      <c r="U15" s="43">
        <v>90</v>
      </c>
      <c r="V15" s="38">
        <v>5840.46</v>
      </c>
      <c r="W15" s="38">
        <v>3596.3</v>
      </c>
      <c r="X15" s="12">
        <f>O15-U15</f>
        <v>15</v>
      </c>
      <c r="Y15" s="37">
        <f>S15-V15</f>
        <v>980</v>
      </c>
      <c r="Z15" s="37">
        <f>T15-W15</f>
        <v>618</v>
      </c>
      <c r="AA15" s="97">
        <f>AB15+AE15</f>
        <v>0</v>
      </c>
      <c r="AB15" s="36">
        <f>AC15+AD15</f>
        <v>0</v>
      </c>
      <c r="AC15" s="39"/>
      <c r="AD15" s="36">
        <v>0</v>
      </c>
      <c r="AE15" s="39"/>
      <c r="AF15" s="96">
        <f>S15+AA15</f>
        <v>6820.46</v>
      </c>
      <c r="AG15" s="43"/>
      <c r="AH15" s="43">
        <v>3</v>
      </c>
      <c r="AI15" s="43">
        <v>3</v>
      </c>
      <c r="AJ15" s="43">
        <v>3</v>
      </c>
      <c r="AK15" s="43"/>
      <c r="AL15" s="43">
        <v>3</v>
      </c>
      <c r="AM15" s="43">
        <v>5400</v>
      </c>
      <c r="AN15" s="43"/>
      <c r="AO15" s="43">
        <v>390</v>
      </c>
      <c r="AP15" s="43">
        <v>360</v>
      </c>
      <c r="AQ15" s="43">
        <v>429</v>
      </c>
      <c r="AR15" s="43">
        <f>SUM(AS15+AT15)</f>
        <v>6369</v>
      </c>
      <c r="AS15" s="43"/>
      <c r="AT15" s="43">
        <v>6369</v>
      </c>
      <c r="AU15" s="43">
        <v>2970</v>
      </c>
      <c r="AV15" s="43">
        <v>185</v>
      </c>
      <c r="AW15" s="43">
        <v>1083</v>
      </c>
      <c r="AX15" s="43">
        <v>1083</v>
      </c>
      <c r="AY15" s="43">
        <v>51</v>
      </c>
      <c r="AZ15" s="43">
        <v>6</v>
      </c>
      <c r="BA15" s="43">
        <v>390</v>
      </c>
      <c r="BB15" s="43">
        <v>1020</v>
      </c>
      <c r="BC15" s="43"/>
      <c r="BD15" s="43">
        <v>11400</v>
      </c>
      <c r="BE15" s="43">
        <v>4905</v>
      </c>
      <c r="BF15" s="43">
        <v>135</v>
      </c>
      <c r="BG15" s="43"/>
      <c r="BH15" s="43"/>
      <c r="BI15" s="43"/>
      <c r="BJ15" s="43">
        <f>G15</f>
        <v>1</v>
      </c>
      <c r="BK15" s="43">
        <f>S15</f>
        <v>6820.46</v>
      </c>
      <c r="BL15" s="43">
        <f>T15</f>
        <v>4214.3</v>
      </c>
      <c r="BM15" s="43"/>
      <c r="BN15" s="43"/>
      <c r="BO15" s="43"/>
      <c r="BP15" s="43"/>
      <c r="BQ15" s="43">
        <v>2</v>
      </c>
      <c r="BR15" s="43"/>
      <c r="BS15" s="43"/>
      <c r="BT15" s="43"/>
      <c r="BU15" s="43"/>
      <c r="BV15" s="12">
        <f>AI15*113.64</f>
        <v>340.92</v>
      </c>
      <c r="BW15" s="12">
        <f>AI15*55.25</f>
        <v>165.75</v>
      </c>
      <c r="BX15" s="12">
        <f>AI15*261.83</f>
        <v>785.49</v>
      </c>
      <c r="BY15" s="43">
        <v>2</v>
      </c>
      <c r="BZ15" s="43"/>
      <c r="CA15" s="43"/>
      <c r="CB15" s="43"/>
      <c r="CC15" s="43"/>
      <c r="CD15" s="114">
        <v>463.20000000000005</v>
      </c>
      <c r="CE15" s="114">
        <v>696.7</v>
      </c>
      <c r="CF15" s="114">
        <v>8.399999999999999</v>
      </c>
      <c r="CG15" s="114">
        <v>16.5</v>
      </c>
      <c r="CH15" s="114">
        <f>1033.5+49.5</f>
        <v>1083</v>
      </c>
      <c r="CI15" s="114"/>
      <c r="CJ15" s="114">
        <v>1083</v>
      </c>
      <c r="CK15" s="99">
        <v>43.6</v>
      </c>
      <c r="CL15" s="115">
        <v>13.3</v>
      </c>
      <c r="CM15" s="58">
        <f>CD15+CE15+CF15+CG15+CH15+CI15+CJ15+CK15+CL15</f>
        <v>3407.7000000000003</v>
      </c>
      <c r="CN15" s="46">
        <v>2521</v>
      </c>
      <c r="CO15" s="46">
        <f>CN15-K15</f>
        <v>1339</v>
      </c>
      <c r="CP15" s="43"/>
      <c r="CQ15" s="15"/>
      <c r="CR15" s="15"/>
      <c r="CS15" s="43"/>
      <c r="CT15" s="43"/>
      <c r="CV15" s="55" t="str">
        <f>IF(CW15&gt;0,G15,"0")</f>
        <v>0</v>
      </c>
      <c r="CW15" s="54">
        <f>AS15</f>
        <v>0</v>
      </c>
      <c r="CX15" s="55">
        <f>IF(CY15&gt;0,G15,"0")</f>
        <v>1</v>
      </c>
      <c r="CY15" s="54">
        <f>AT15</f>
        <v>6369</v>
      </c>
      <c r="CZ15" s="54">
        <f>CV15+CX15</f>
        <v>1</v>
      </c>
      <c r="DA15" s="54">
        <f>CW15+CY15</f>
        <v>6369</v>
      </c>
    </row>
    <row r="16" spans="1:105" s="14" customFormat="1" ht="12.75">
      <c r="A16" s="11" t="s">
        <v>127</v>
      </c>
      <c r="B16" s="40">
        <v>10</v>
      </c>
      <c r="C16" s="9" t="s">
        <v>103</v>
      </c>
      <c r="D16" s="10">
        <v>1951</v>
      </c>
      <c r="E16" s="8" t="s">
        <v>87</v>
      </c>
      <c r="F16" s="8" t="s">
        <v>31</v>
      </c>
      <c r="G16" s="13">
        <v>1</v>
      </c>
      <c r="H16" s="8">
        <v>5</v>
      </c>
      <c r="I16" s="8" t="s">
        <v>146</v>
      </c>
      <c r="J16" s="43">
        <v>36797</v>
      </c>
      <c r="K16" s="43">
        <v>1979</v>
      </c>
      <c r="L16" s="217" t="s">
        <v>218</v>
      </c>
      <c r="M16" s="43">
        <v>2869</v>
      </c>
      <c r="N16" s="43"/>
      <c r="O16" s="43">
        <v>80</v>
      </c>
      <c r="P16" s="43">
        <v>176</v>
      </c>
      <c r="Q16" s="43">
        <v>80</v>
      </c>
      <c r="R16" s="43">
        <v>140</v>
      </c>
      <c r="S16" s="36">
        <v>5274.6</v>
      </c>
      <c r="T16" s="36">
        <v>2903.7</v>
      </c>
      <c r="U16" s="43">
        <v>66</v>
      </c>
      <c r="V16" s="38">
        <v>4365.3</v>
      </c>
      <c r="W16" s="38">
        <v>2423.3</v>
      </c>
      <c r="X16" s="12">
        <f>O16-U16</f>
        <v>14</v>
      </c>
      <c r="Y16" s="37">
        <f>S16-V16</f>
        <v>909.3000000000002</v>
      </c>
      <c r="Z16" s="37">
        <f>T16-W16</f>
        <v>480.39999999999964</v>
      </c>
      <c r="AA16" s="97">
        <f>AB16+AE16</f>
        <v>3793.18</v>
      </c>
      <c r="AB16" s="36">
        <f>AC16+AD16</f>
        <v>3547.48</v>
      </c>
      <c r="AC16" s="39"/>
      <c r="AD16" s="36">
        <v>3547.48</v>
      </c>
      <c r="AE16" s="39">
        <v>245.7</v>
      </c>
      <c r="AF16" s="96">
        <f>S16+AA16</f>
        <v>9067.78</v>
      </c>
      <c r="AG16" s="43"/>
      <c r="AH16" s="43"/>
      <c r="AI16" s="43">
        <v>5</v>
      </c>
      <c r="AJ16" s="43"/>
      <c r="AK16" s="43"/>
      <c r="AL16" s="43">
        <v>1</v>
      </c>
      <c r="AM16" s="43">
        <v>5950</v>
      </c>
      <c r="AN16" s="43">
        <v>1376</v>
      </c>
      <c r="AO16" s="43">
        <v>290</v>
      </c>
      <c r="AP16" s="43">
        <v>517</v>
      </c>
      <c r="AQ16" s="43">
        <v>150</v>
      </c>
      <c r="AR16" s="43">
        <f>SUM(AS16+AT16)</f>
        <v>4965</v>
      </c>
      <c r="AS16" s="43"/>
      <c r="AT16" s="43">
        <v>4965</v>
      </c>
      <c r="AU16" s="43"/>
      <c r="AV16" s="43">
        <v>488</v>
      </c>
      <c r="AW16" s="43">
        <v>2400</v>
      </c>
      <c r="AX16" s="43">
        <v>2400</v>
      </c>
      <c r="AY16" s="43">
        <v>25</v>
      </c>
      <c r="AZ16" s="43">
        <v>10</v>
      </c>
      <c r="BA16" s="43">
        <v>256</v>
      </c>
      <c r="BB16" s="43">
        <v>736</v>
      </c>
      <c r="BC16" s="43"/>
      <c r="BD16" s="43">
        <v>11102</v>
      </c>
      <c r="BE16" s="43">
        <v>190</v>
      </c>
      <c r="BF16" s="43"/>
      <c r="BG16" s="43">
        <f>G16</f>
        <v>1</v>
      </c>
      <c r="BH16" s="43">
        <f>S16</f>
        <v>5274.6</v>
      </c>
      <c r="BI16" s="43">
        <f>T16</f>
        <v>2903.7</v>
      </c>
      <c r="BJ16" s="43"/>
      <c r="BK16" s="43"/>
      <c r="BL16" s="43"/>
      <c r="BM16" s="43"/>
      <c r="BN16" s="43"/>
      <c r="BO16" s="43"/>
      <c r="BP16" s="43"/>
      <c r="BQ16" s="43">
        <v>5</v>
      </c>
      <c r="BR16" s="43">
        <f>AX16</f>
        <v>2400</v>
      </c>
      <c r="BS16" s="43">
        <v>5895</v>
      </c>
      <c r="BT16" s="43"/>
      <c r="BU16" s="43">
        <f>AM16</f>
        <v>5950</v>
      </c>
      <c r="BV16" s="12">
        <f>AI16*71.04</f>
        <v>355.20000000000005</v>
      </c>
      <c r="BW16" s="12">
        <f>AI16*37.13</f>
        <v>185.65</v>
      </c>
      <c r="BX16" s="12">
        <f>AI16*0</f>
        <v>0</v>
      </c>
      <c r="BY16" s="43">
        <v>2</v>
      </c>
      <c r="BZ16" s="43"/>
      <c r="CA16" s="43"/>
      <c r="CB16" s="43"/>
      <c r="CC16" s="43"/>
      <c r="CD16" s="114">
        <v>654.8</v>
      </c>
      <c r="CE16" s="114"/>
      <c r="CF16" s="114"/>
      <c r="CG16" s="114"/>
      <c r="CH16" s="114">
        <v>2400</v>
      </c>
      <c r="CI16" s="114"/>
      <c r="CJ16" s="114">
        <v>2400</v>
      </c>
      <c r="CK16" s="99">
        <v>55.9</v>
      </c>
      <c r="CL16" s="115"/>
      <c r="CM16" s="58">
        <f>CD16+CE16+CF16+CG16+CH16+CI16+CJ16+CK16+CL16</f>
        <v>5510.7</v>
      </c>
      <c r="CN16" s="46">
        <v>4552</v>
      </c>
      <c r="CO16" s="46">
        <f>CN16-K16</f>
        <v>2573</v>
      </c>
      <c r="CP16" s="43"/>
      <c r="CQ16" s="15"/>
      <c r="CR16" s="15"/>
      <c r="CS16" s="43"/>
      <c r="CT16" s="43"/>
      <c r="CV16" s="55" t="str">
        <f>IF(CW16&gt;0,G16,"0")</f>
        <v>0</v>
      </c>
      <c r="CW16" s="54">
        <f>AS16</f>
        <v>0</v>
      </c>
      <c r="CX16" s="55">
        <f>IF(CY16&gt;0,G16,"0")</f>
        <v>1</v>
      </c>
      <c r="CY16" s="54">
        <f>AT16</f>
        <v>4965</v>
      </c>
      <c r="CZ16" s="54">
        <f>CV16+CX16</f>
        <v>1</v>
      </c>
      <c r="DA16" s="54">
        <f>CW16+CY16</f>
        <v>4965</v>
      </c>
    </row>
    <row r="17" spans="1:105" s="14" customFormat="1" ht="12.75">
      <c r="A17" s="11" t="s">
        <v>127</v>
      </c>
      <c r="B17" s="40">
        <v>11</v>
      </c>
      <c r="C17" s="9" t="s">
        <v>104</v>
      </c>
      <c r="D17" s="10">
        <v>1987</v>
      </c>
      <c r="E17" s="8" t="s">
        <v>87</v>
      </c>
      <c r="F17" s="8" t="s">
        <v>30</v>
      </c>
      <c r="G17" s="13">
        <v>1</v>
      </c>
      <c r="H17" s="8">
        <v>9</v>
      </c>
      <c r="I17" s="8" t="s">
        <v>145</v>
      </c>
      <c r="J17" s="43">
        <v>29303</v>
      </c>
      <c r="K17" s="43">
        <v>1200</v>
      </c>
      <c r="L17" s="217" t="s">
        <v>219</v>
      </c>
      <c r="M17" s="43"/>
      <c r="N17" s="43">
        <v>1122</v>
      </c>
      <c r="O17" s="43">
        <v>105</v>
      </c>
      <c r="P17" s="43">
        <v>285</v>
      </c>
      <c r="Q17" s="43">
        <v>105</v>
      </c>
      <c r="R17" s="43">
        <v>224</v>
      </c>
      <c r="S17" s="36">
        <v>6814</v>
      </c>
      <c r="T17" s="36">
        <v>4203.1</v>
      </c>
      <c r="U17" s="43">
        <v>97</v>
      </c>
      <c r="V17" s="38">
        <v>6257</v>
      </c>
      <c r="W17" s="38">
        <v>3860.2</v>
      </c>
      <c r="X17" s="12">
        <f>O17-U17</f>
        <v>8</v>
      </c>
      <c r="Y17" s="37">
        <f>S17-V17</f>
        <v>557</v>
      </c>
      <c r="Z17" s="37">
        <f>T17-W17</f>
        <v>342.90000000000055</v>
      </c>
      <c r="AA17" s="97">
        <f>AB17+AE17</f>
        <v>0</v>
      </c>
      <c r="AB17" s="36">
        <f>AC17+AD17</f>
        <v>0</v>
      </c>
      <c r="AC17" s="39"/>
      <c r="AD17" s="36">
        <v>0</v>
      </c>
      <c r="AE17" s="39"/>
      <c r="AF17" s="96">
        <f>S17+AA17</f>
        <v>6814</v>
      </c>
      <c r="AG17" s="43"/>
      <c r="AH17" s="43">
        <v>3</v>
      </c>
      <c r="AI17" s="43">
        <v>3</v>
      </c>
      <c r="AJ17" s="43">
        <v>3</v>
      </c>
      <c r="AK17" s="43"/>
      <c r="AL17" s="43">
        <v>3</v>
      </c>
      <c r="AM17" s="43">
        <v>5400</v>
      </c>
      <c r="AN17" s="43"/>
      <c r="AO17" s="43">
        <v>345</v>
      </c>
      <c r="AP17" s="43">
        <v>396</v>
      </c>
      <c r="AQ17" s="43">
        <v>429</v>
      </c>
      <c r="AR17" s="43">
        <f>SUM(AS17+AT17)</f>
        <v>10869</v>
      </c>
      <c r="AS17" s="43"/>
      <c r="AT17" s="43">
        <v>10869</v>
      </c>
      <c r="AU17" s="43">
        <v>2970</v>
      </c>
      <c r="AV17" s="43">
        <v>180</v>
      </c>
      <c r="AW17" s="43">
        <v>1081</v>
      </c>
      <c r="AX17" s="43">
        <v>1081</v>
      </c>
      <c r="AY17" s="43">
        <v>51</v>
      </c>
      <c r="AZ17" s="43">
        <v>6</v>
      </c>
      <c r="BA17" s="43">
        <v>389</v>
      </c>
      <c r="BB17" s="43">
        <v>1020</v>
      </c>
      <c r="BC17" s="43"/>
      <c r="BD17" s="43">
        <v>11400</v>
      </c>
      <c r="BE17" s="43">
        <v>4905</v>
      </c>
      <c r="BF17" s="43">
        <v>1345</v>
      </c>
      <c r="BG17" s="43"/>
      <c r="BH17" s="43"/>
      <c r="BI17" s="43"/>
      <c r="BJ17" s="43">
        <f>G17</f>
        <v>1</v>
      </c>
      <c r="BK17" s="43">
        <f>S17</f>
        <v>6814</v>
      </c>
      <c r="BL17" s="43">
        <f>T17</f>
        <v>4203.1</v>
      </c>
      <c r="BM17" s="43"/>
      <c r="BN17" s="43"/>
      <c r="BO17" s="43"/>
      <c r="BP17" s="43"/>
      <c r="BQ17" s="43">
        <v>2</v>
      </c>
      <c r="BR17" s="43"/>
      <c r="BS17" s="43"/>
      <c r="BT17" s="43"/>
      <c r="BU17" s="43"/>
      <c r="BV17" s="12">
        <f>AI17*113.64</f>
        <v>340.92</v>
      </c>
      <c r="BW17" s="12">
        <f>AI17*55.25</f>
        <v>165.75</v>
      </c>
      <c r="BX17" s="12">
        <f>AI17*261.83</f>
        <v>785.49</v>
      </c>
      <c r="BY17" s="43">
        <v>2</v>
      </c>
      <c r="BZ17" s="43"/>
      <c r="CA17" s="43"/>
      <c r="CB17" s="43"/>
      <c r="CC17" s="43">
        <v>3</v>
      </c>
      <c r="CD17" s="114">
        <v>465.3</v>
      </c>
      <c r="CE17" s="114">
        <v>698.6</v>
      </c>
      <c r="CF17" s="114">
        <v>7.800000000000001</v>
      </c>
      <c r="CG17" s="114">
        <v>16.9</v>
      </c>
      <c r="CH17" s="114">
        <f>903.6+49.1</f>
        <v>952.7</v>
      </c>
      <c r="CI17" s="114"/>
      <c r="CJ17" s="114">
        <v>1081</v>
      </c>
      <c r="CK17" s="99">
        <v>37</v>
      </c>
      <c r="CL17" s="115">
        <v>35.4</v>
      </c>
      <c r="CM17" s="58">
        <f>CD17+CE17+CF17+CG17+CH17+CI17+CJ17+CK17+CL17</f>
        <v>3294.7000000000003</v>
      </c>
      <c r="CN17" s="46">
        <v>2427</v>
      </c>
      <c r="CO17" s="46">
        <f>CN17-K17</f>
        <v>1227</v>
      </c>
      <c r="CP17" s="43"/>
      <c r="CQ17" s="15"/>
      <c r="CR17" s="15"/>
      <c r="CS17" s="43"/>
      <c r="CT17" s="43"/>
      <c r="CV17" s="55" t="str">
        <f>IF(CW17&gt;0,G17,"0")</f>
        <v>0</v>
      </c>
      <c r="CW17" s="54">
        <f>AS17</f>
        <v>0</v>
      </c>
      <c r="CX17" s="55">
        <f>IF(CY17&gt;0,G17,"0")</f>
        <v>1</v>
      </c>
      <c r="CY17" s="54">
        <f>AT17</f>
        <v>10869</v>
      </c>
      <c r="CZ17" s="54">
        <f>CV17+CX17</f>
        <v>1</v>
      </c>
      <c r="DA17" s="54">
        <f>CW17+CY17</f>
        <v>10869</v>
      </c>
    </row>
    <row r="18" spans="1:105" s="14" customFormat="1" ht="12.75">
      <c r="A18" s="11" t="s">
        <v>127</v>
      </c>
      <c r="B18" s="40">
        <v>12</v>
      </c>
      <c r="C18" s="9" t="s">
        <v>105</v>
      </c>
      <c r="D18" s="10">
        <v>1954</v>
      </c>
      <c r="E18" s="8" t="s">
        <v>87</v>
      </c>
      <c r="F18" s="8" t="s">
        <v>31</v>
      </c>
      <c r="G18" s="13">
        <v>1</v>
      </c>
      <c r="H18" s="8">
        <v>5</v>
      </c>
      <c r="I18" s="8" t="s">
        <v>146</v>
      </c>
      <c r="J18" s="43">
        <v>37017</v>
      </c>
      <c r="K18" s="43">
        <v>2314</v>
      </c>
      <c r="L18" s="217" t="s">
        <v>220</v>
      </c>
      <c r="M18" s="43">
        <v>2838</v>
      </c>
      <c r="N18" s="43">
        <v>0</v>
      </c>
      <c r="O18" s="43">
        <v>95</v>
      </c>
      <c r="P18" s="43">
        <v>231</v>
      </c>
      <c r="Q18" s="43">
        <f>100-4</f>
        <v>96</v>
      </c>
      <c r="R18" s="43">
        <v>203</v>
      </c>
      <c r="S18" s="36">
        <v>6262.63</v>
      </c>
      <c r="T18" s="36">
        <v>3781.77</v>
      </c>
      <c r="U18" s="43">
        <v>89</v>
      </c>
      <c r="V18" s="38">
        <v>5859.91</v>
      </c>
      <c r="W18" s="38">
        <v>3537.01</v>
      </c>
      <c r="X18" s="12">
        <f>O18-U18</f>
        <v>6</v>
      </c>
      <c r="Y18" s="37">
        <f>S18-V18</f>
        <v>402.72000000000025</v>
      </c>
      <c r="Z18" s="37">
        <f>T18-W18</f>
        <v>244.75999999999976</v>
      </c>
      <c r="AA18" s="97">
        <f>AB18+AE18</f>
        <v>1913.3</v>
      </c>
      <c r="AB18" s="36">
        <f>AC18+AD18</f>
        <v>1587.3</v>
      </c>
      <c r="AC18" s="39"/>
      <c r="AD18" s="36">
        <v>1587.3</v>
      </c>
      <c r="AE18" s="39">
        <v>326</v>
      </c>
      <c r="AF18" s="96">
        <f>S18+AA18</f>
        <v>8175.93</v>
      </c>
      <c r="AG18" s="43"/>
      <c r="AH18" s="43"/>
      <c r="AI18" s="43">
        <v>5</v>
      </c>
      <c r="AJ18" s="43"/>
      <c r="AK18" s="43"/>
      <c r="AL18" s="43">
        <v>2</v>
      </c>
      <c r="AM18" s="43">
        <v>5640</v>
      </c>
      <c r="AN18" s="43">
        <v>1500</v>
      </c>
      <c r="AO18" s="43">
        <v>505</v>
      </c>
      <c r="AP18" s="43">
        <v>490</v>
      </c>
      <c r="AQ18" s="43">
        <v>150</v>
      </c>
      <c r="AR18" s="43">
        <f>SUM(AS18+AT18)</f>
        <v>4965</v>
      </c>
      <c r="AS18" s="43"/>
      <c r="AT18" s="43">
        <v>4965</v>
      </c>
      <c r="AU18" s="43"/>
      <c r="AV18" s="43">
        <v>144</v>
      </c>
      <c r="AW18" s="43">
        <v>2300</v>
      </c>
      <c r="AX18" s="43">
        <v>2300</v>
      </c>
      <c r="AY18" s="43">
        <v>25</v>
      </c>
      <c r="AZ18" s="43">
        <v>12</v>
      </c>
      <c r="BA18" s="43">
        <v>420</v>
      </c>
      <c r="BB18" s="43">
        <v>1040</v>
      </c>
      <c r="BC18" s="43"/>
      <c r="BD18" s="43">
        <v>7110</v>
      </c>
      <c r="BE18" s="43">
        <v>190</v>
      </c>
      <c r="BF18" s="43"/>
      <c r="BG18" s="43">
        <f>G18</f>
        <v>1</v>
      </c>
      <c r="BH18" s="43">
        <f>S18</f>
        <v>6262.63</v>
      </c>
      <c r="BI18" s="43">
        <f>T18</f>
        <v>3781.77</v>
      </c>
      <c r="BJ18" s="43"/>
      <c r="BK18" s="43"/>
      <c r="BL18" s="43"/>
      <c r="BM18" s="43"/>
      <c r="BN18" s="43"/>
      <c r="BO18" s="43"/>
      <c r="BP18" s="43"/>
      <c r="BQ18" s="43">
        <v>6</v>
      </c>
      <c r="BR18" s="43">
        <f>AX18</f>
        <v>2300</v>
      </c>
      <c r="BS18" s="43">
        <v>6725</v>
      </c>
      <c r="BT18" s="43"/>
      <c r="BU18" s="43">
        <f>AM18</f>
        <v>5640</v>
      </c>
      <c r="BV18" s="12">
        <f>AI18*71.04</f>
        <v>355.20000000000005</v>
      </c>
      <c r="BW18" s="12">
        <f>AI18*37.13</f>
        <v>185.65</v>
      </c>
      <c r="BX18" s="12">
        <f>AI18*0</f>
        <v>0</v>
      </c>
      <c r="BY18" s="43">
        <v>1</v>
      </c>
      <c r="BZ18" s="43"/>
      <c r="CA18" s="43"/>
      <c r="CB18" s="43"/>
      <c r="CC18" s="43"/>
      <c r="CD18" s="114">
        <v>595.69</v>
      </c>
      <c r="CE18" s="114"/>
      <c r="CF18" s="114"/>
      <c r="CG18" s="114"/>
      <c r="CH18" s="114">
        <v>2300</v>
      </c>
      <c r="CI18" s="114"/>
      <c r="CJ18" s="114">
        <v>2054.13</v>
      </c>
      <c r="CK18" s="99">
        <v>14.64</v>
      </c>
      <c r="CL18" s="115"/>
      <c r="CM18" s="58">
        <f>CD18+CE18+CF18+CG18+CH18+CI18+CJ18+CK18+CL18</f>
        <v>4964.46</v>
      </c>
      <c r="CN18" s="46">
        <v>5109</v>
      </c>
      <c r="CO18" s="46">
        <f>CN18-K18</f>
        <v>2795</v>
      </c>
      <c r="CP18" s="43"/>
      <c r="CQ18" s="15"/>
      <c r="CR18" s="15"/>
      <c r="CS18" s="43"/>
      <c r="CT18" s="43"/>
      <c r="CV18" s="55" t="str">
        <f>IF(CW18&gt;0,G18,"0")</f>
        <v>0</v>
      </c>
      <c r="CW18" s="54">
        <f>AS18</f>
        <v>0</v>
      </c>
      <c r="CX18" s="55">
        <f>IF(CY18&gt;0,G18,"0")</f>
        <v>1</v>
      </c>
      <c r="CY18" s="54">
        <f>AT18</f>
        <v>4965</v>
      </c>
      <c r="CZ18" s="54">
        <f>CV18+CX18</f>
        <v>1</v>
      </c>
      <c r="DA18" s="54">
        <f>CW18+CY18</f>
        <v>4965</v>
      </c>
    </row>
    <row r="19" spans="1:105" s="14" customFormat="1" ht="12.75">
      <c r="A19" s="11" t="s">
        <v>127</v>
      </c>
      <c r="B19" s="40">
        <v>13</v>
      </c>
      <c r="C19" s="9" t="s">
        <v>106</v>
      </c>
      <c r="D19" s="10">
        <v>1953</v>
      </c>
      <c r="E19" s="8" t="s">
        <v>87</v>
      </c>
      <c r="F19" s="8" t="s">
        <v>31</v>
      </c>
      <c r="G19" s="13">
        <v>1</v>
      </c>
      <c r="H19" s="8">
        <v>5</v>
      </c>
      <c r="I19" s="8" t="s">
        <v>146</v>
      </c>
      <c r="J19" s="43">
        <v>37057</v>
      </c>
      <c r="K19" s="43">
        <v>2179</v>
      </c>
      <c r="L19" s="217" t="s">
        <v>221</v>
      </c>
      <c r="M19" s="43">
        <v>2834</v>
      </c>
      <c r="N19" s="43">
        <v>0</v>
      </c>
      <c r="O19" s="43">
        <v>105</v>
      </c>
      <c r="P19" s="43">
        <v>264</v>
      </c>
      <c r="Q19" s="43">
        <v>193</v>
      </c>
      <c r="R19" s="43">
        <v>242</v>
      </c>
      <c r="S19" s="36">
        <v>7370.8</v>
      </c>
      <c r="T19" s="36">
        <v>4521.48</v>
      </c>
      <c r="U19" s="43">
        <v>96</v>
      </c>
      <c r="V19" s="38">
        <v>6728.17</v>
      </c>
      <c r="W19" s="38">
        <v>4127.62</v>
      </c>
      <c r="X19" s="12">
        <f>O19-U19</f>
        <v>9</v>
      </c>
      <c r="Y19" s="37">
        <f>S19-V19</f>
        <v>642.6300000000001</v>
      </c>
      <c r="Z19" s="37">
        <f>T19-W19</f>
        <v>393.8599999999997</v>
      </c>
      <c r="AA19" s="97">
        <f>AB19+AE19</f>
        <v>978.34</v>
      </c>
      <c r="AB19" s="39">
        <f>AC19+AD19</f>
        <v>809.1</v>
      </c>
      <c r="AC19" s="39"/>
      <c r="AD19" s="39">
        <v>809.1</v>
      </c>
      <c r="AE19" s="39">
        <v>169.24</v>
      </c>
      <c r="AF19" s="96">
        <f>S19+AA19</f>
        <v>8349.14</v>
      </c>
      <c r="AG19" s="43"/>
      <c r="AH19" s="43"/>
      <c r="AI19" s="43">
        <v>6</v>
      </c>
      <c r="AJ19" s="43"/>
      <c r="AK19" s="43"/>
      <c r="AL19" s="43">
        <v>2</v>
      </c>
      <c r="AM19" s="43">
        <v>5555</v>
      </c>
      <c r="AN19" s="43">
        <v>1500</v>
      </c>
      <c r="AO19" s="43">
        <v>450</v>
      </c>
      <c r="AP19" s="43">
        <v>483</v>
      </c>
      <c r="AQ19" s="43">
        <v>180</v>
      </c>
      <c r="AR19" s="43">
        <f>SUM(AS19+AT19)</f>
        <v>5921</v>
      </c>
      <c r="AS19" s="43"/>
      <c r="AT19" s="43">
        <f>5958-37</f>
        <v>5921</v>
      </c>
      <c r="AU19" s="43"/>
      <c r="AV19" s="43">
        <v>141</v>
      </c>
      <c r="AW19" s="43">
        <v>2326</v>
      </c>
      <c r="AX19" s="43">
        <v>2326</v>
      </c>
      <c r="AY19" s="43">
        <v>30</v>
      </c>
      <c r="AZ19" s="43">
        <v>12</v>
      </c>
      <c r="BA19" s="43">
        <f>380-4</f>
        <v>376</v>
      </c>
      <c r="BB19" s="43">
        <f>1022-1</f>
        <v>1021</v>
      </c>
      <c r="BC19" s="43"/>
      <c r="BD19" s="43">
        <f>7797-150</f>
        <v>7647</v>
      </c>
      <c r="BE19" s="43">
        <v>228</v>
      </c>
      <c r="BF19" s="43"/>
      <c r="BG19" s="43">
        <f>G19</f>
        <v>1</v>
      </c>
      <c r="BH19" s="43">
        <f>S19</f>
        <v>7370.8</v>
      </c>
      <c r="BI19" s="43">
        <f>T19</f>
        <v>4521.48</v>
      </c>
      <c r="BJ19" s="43"/>
      <c r="BK19" s="43"/>
      <c r="BL19" s="43"/>
      <c r="BM19" s="43"/>
      <c r="BN19" s="43"/>
      <c r="BO19" s="43"/>
      <c r="BP19" s="43"/>
      <c r="BQ19" s="43">
        <v>4</v>
      </c>
      <c r="BR19" s="43">
        <f>AX19</f>
        <v>2326</v>
      </c>
      <c r="BS19" s="43">
        <v>6455</v>
      </c>
      <c r="BT19" s="43"/>
      <c r="BU19" s="43">
        <f>AM19</f>
        <v>5555</v>
      </c>
      <c r="BV19" s="12">
        <f>AI19*71.04</f>
        <v>426.24</v>
      </c>
      <c r="BW19" s="12">
        <f>AI19*37.13</f>
        <v>222.78000000000003</v>
      </c>
      <c r="BX19" s="12">
        <f>AI19*0</f>
        <v>0</v>
      </c>
      <c r="BY19" s="43">
        <v>3</v>
      </c>
      <c r="BZ19" s="43"/>
      <c r="CA19" s="43"/>
      <c r="CB19" s="43"/>
      <c r="CC19" s="43"/>
      <c r="CD19" s="114">
        <v>767.3</v>
      </c>
      <c r="CE19" s="114"/>
      <c r="CF19" s="114"/>
      <c r="CG19" s="114"/>
      <c r="CH19" s="114">
        <v>2326</v>
      </c>
      <c r="CI19" s="114"/>
      <c r="CJ19" s="114">
        <v>2326</v>
      </c>
      <c r="CK19" s="99">
        <v>27.590000000000003</v>
      </c>
      <c r="CL19" s="115"/>
      <c r="CM19" s="58">
        <f>CD19+CE19+CF19+CG19+CH19+CI19+CJ19+CK19+CL19</f>
        <v>5446.89</v>
      </c>
      <c r="CN19" s="46">
        <v>6077</v>
      </c>
      <c r="CO19" s="46">
        <f>CN19-K19</f>
        <v>3898</v>
      </c>
      <c r="CP19" s="43"/>
      <c r="CQ19" s="15"/>
      <c r="CR19" s="15"/>
      <c r="CS19" s="43"/>
      <c r="CT19" s="43"/>
      <c r="CV19" s="55" t="str">
        <f>IF(CW19&gt;0,G19,"0")</f>
        <v>0</v>
      </c>
      <c r="CW19" s="54">
        <f>AS19</f>
        <v>0</v>
      </c>
      <c r="CX19" s="55">
        <f>IF(CY19&gt;0,G19,"0")</f>
        <v>1</v>
      </c>
      <c r="CY19" s="54">
        <f>AT19</f>
        <v>5921</v>
      </c>
      <c r="CZ19" s="54">
        <f>CV19+CX19</f>
        <v>1</v>
      </c>
      <c r="DA19" s="54">
        <f>CW19+CY19</f>
        <v>5921</v>
      </c>
    </row>
    <row r="20" spans="1:105" ht="12.75">
      <c r="A20" s="11" t="s">
        <v>127</v>
      </c>
      <c r="B20" s="40">
        <v>14</v>
      </c>
      <c r="C20" s="9" t="s">
        <v>107</v>
      </c>
      <c r="D20" s="10">
        <v>1988</v>
      </c>
      <c r="E20" s="8" t="s">
        <v>87</v>
      </c>
      <c r="F20" s="8" t="s">
        <v>30</v>
      </c>
      <c r="G20" s="13">
        <v>1</v>
      </c>
      <c r="H20" s="8">
        <v>9</v>
      </c>
      <c r="I20" s="8" t="s">
        <v>145</v>
      </c>
      <c r="J20" s="43">
        <v>29351</v>
      </c>
      <c r="K20" s="43">
        <v>1196</v>
      </c>
      <c r="L20" s="217" t="s">
        <v>222</v>
      </c>
      <c r="M20" s="43"/>
      <c r="N20" s="43">
        <v>1172</v>
      </c>
      <c r="O20" s="43">
        <v>101</v>
      </c>
      <c r="P20" s="43">
        <v>277</v>
      </c>
      <c r="Q20" s="43">
        <v>101</v>
      </c>
      <c r="R20" s="43">
        <v>264</v>
      </c>
      <c r="S20" s="36">
        <v>6552.2</v>
      </c>
      <c r="T20" s="36">
        <v>4090.7</v>
      </c>
      <c r="U20" s="43">
        <v>92</v>
      </c>
      <c r="V20" s="38">
        <v>5967.4</v>
      </c>
      <c r="W20" s="38">
        <v>3727.7</v>
      </c>
      <c r="X20" s="12">
        <f>O20-U20</f>
        <v>9</v>
      </c>
      <c r="Y20" s="37">
        <f>S20-V20</f>
        <v>584.8000000000002</v>
      </c>
      <c r="Z20" s="37">
        <f>T20-W20</f>
        <v>363</v>
      </c>
      <c r="AA20" s="97">
        <f>AB20+AE20</f>
        <v>100.4</v>
      </c>
      <c r="AB20" s="36">
        <f>AC20+AD20</f>
        <v>100.4</v>
      </c>
      <c r="AC20" s="39"/>
      <c r="AD20" s="36">
        <v>100.4</v>
      </c>
      <c r="AE20" s="39"/>
      <c r="AF20" s="96">
        <f>S20+AA20</f>
        <v>6652.599999999999</v>
      </c>
      <c r="AG20" s="43"/>
      <c r="AH20" s="43">
        <v>3</v>
      </c>
      <c r="AI20" s="43">
        <v>3</v>
      </c>
      <c r="AJ20" s="43">
        <v>3</v>
      </c>
      <c r="AK20" s="43"/>
      <c r="AL20" s="43">
        <v>3</v>
      </c>
      <c r="AM20" s="43">
        <v>5400</v>
      </c>
      <c r="AN20" s="43"/>
      <c r="AO20" s="43">
        <v>360</v>
      </c>
      <c r="AP20" s="43">
        <v>396</v>
      </c>
      <c r="AQ20" s="43">
        <v>429</v>
      </c>
      <c r="AR20" s="43">
        <f>SUM(AS20+AT20)</f>
        <v>10869</v>
      </c>
      <c r="AS20" s="43"/>
      <c r="AT20" s="43">
        <v>10869</v>
      </c>
      <c r="AU20" s="43">
        <v>2970</v>
      </c>
      <c r="AV20" s="43">
        <v>182</v>
      </c>
      <c r="AW20" s="43">
        <v>1071</v>
      </c>
      <c r="AX20" s="43">
        <v>1071</v>
      </c>
      <c r="AY20" s="43">
        <v>51</v>
      </c>
      <c r="AZ20" s="43">
        <v>6</v>
      </c>
      <c r="BA20" s="43">
        <v>384</v>
      </c>
      <c r="BB20" s="43">
        <v>996</v>
      </c>
      <c r="BC20" s="43"/>
      <c r="BD20" s="43">
        <v>11400</v>
      </c>
      <c r="BE20" s="43">
        <v>4905</v>
      </c>
      <c r="BF20" s="43">
        <v>135</v>
      </c>
      <c r="BG20" s="43"/>
      <c r="BH20" s="43"/>
      <c r="BI20" s="43"/>
      <c r="BJ20" s="43">
        <f>G20</f>
        <v>1</v>
      </c>
      <c r="BK20" s="43">
        <f>S20</f>
        <v>6552.2</v>
      </c>
      <c r="BL20" s="43">
        <f>T20</f>
        <v>4090.7</v>
      </c>
      <c r="BM20" s="43"/>
      <c r="BN20" s="43"/>
      <c r="BO20" s="43"/>
      <c r="BP20" s="43"/>
      <c r="BQ20" s="43">
        <v>2</v>
      </c>
      <c r="BR20" s="43"/>
      <c r="BS20" s="43"/>
      <c r="BT20" s="43"/>
      <c r="BU20" s="43"/>
      <c r="BV20" s="12">
        <f>AI20*113.64</f>
        <v>340.92</v>
      </c>
      <c r="BW20" s="12">
        <f>AI20*55.25</f>
        <v>165.75</v>
      </c>
      <c r="BX20" s="12">
        <f>AI20*261.83</f>
        <v>785.49</v>
      </c>
      <c r="BY20" s="43">
        <v>2</v>
      </c>
      <c r="BZ20" s="43"/>
      <c r="CA20" s="43"/>
      <c r="CB20" s="43"/>
      <c r="CC20" s="43">
        <v>3</v>
      </c>
      <c r="CD20" s="114">
        <v>465.4</v>
      </c>
      <c r="CE20" s="114">
        <v>700</v>
      </c>
      <c r="CF20" s="114">
        <v>9</v>
      </c>
      <c r="CG20" s="114">
        <v>10.3</v>
      </c>
      <c r="CH20" s="114">
        <f>889.7+48.4</f>
        <v>938.1</v>
      </c>
      <c r="CI20" s="114"/>
      <c r="CJ20" s="114">
        <v>1071</v>
      </c>
      <c r="CK20" s="99">
        <v>44.1</v>
      </c>
      <c r="CL20" s="115">
        <v>78.8</v>
      </c>
      <c r="CM20" s="58">
        <f>CD20+CE20+CF20+CG20+CH20+CI20+CJ20+CK20+CL20</f>
        <v>3316.7000000000003</v>
      </c>
      <c r="CN20" s="46">
        <v>2447</v>
      </c>
      <c r="CO20" s="46">
        <f>CN20-K20</f>
        <v>1251</v>
      </c>
      <c r="CP20" s="43"/>
      <c r="CQ20" s="15"/>
      <c r="CR20" s="15"/>
      <c r="CS20" s="43"/>
      <c r="CT20" s="43"/>
      <c r="CV20" s="55" t="str">
        <f>IF(CW20&gt;0,G20,"0")</f>
        <v>0</v>
      </c>
      <c r="CW20" s="54">
        <f>AS20</f>
        <v>0</v>
      </c>
      <c r="CX20" s="55">
        <f>IF(CY20&gt;0,G20,"0")</f>
        <v>1</v>
      </c>
      <c r="CY20" s="54">
        <f>AT20</f>
        <v>10869</v>
      </c>
      <c r="CZ20" s="54">
        <f>CV20+CX20</f>
        <v>1</v>
      </c>
      <c r="DA20" s="54">
        <f>CW20+CY20</f>
        <v>10869</v>
      </c>
    </row>
    <row r="21" spans="1:105" ht="38.25">
      <c r="A21" s="11" t="s">
        <v>127</v>
      </c>
      <c r="B21" s="40">
        <v>15</v>
      </c>
      <c r="C21" s="9" t="s">
        <v>169</v>
      </c>
      <c r="D21" s="10">
        <v>1983</v>
      </c>
      <c r="E21" s="8" t="s">
        <v>87</v>
      </c>
      <c r="F21" s="8" t="s">
        <v>30</v>
      </c>
      <c r="G21" s="13">
        <v>1</v>
      </c>
      <c r="H21" s="8">
        <v>9</v>
      </c>
      <c r="I21" s="8" t="s">
        <v>145</v>
      </c>
      <c r="J21" s="43">
        <f>20281+19963+19980</f>
        <v>60224</v>
      </c>
      <c r="K21" s="43">
        <f>784+783+787</f>
        <v>2354</v>
      </c>
      <c r="L21" s="218" t="s">
        <v>223</v>
      </c>
      <c r="M21" s="43"/>
      <c r="N21" s="43">
        <f>738+725+751</f>
        <v>2214</v>
      </c>
      <c r="O21" s="43">
        <v>210</v>
      </c>
      <c r="P21" s="43">
        <v>588</v>
      </c>
      <c r="Q21" s="43">
        <f>70+70+70</f>
        <v>210</v>
      </c>
      <c r="R21" s="43">
        <v>519</v>
      </c>
      <c r="S21" s="36">
        <v>13647</v>
      </c>
      <c r="T21" s="36">
        <v>8656.6</v>
      </c>
      <c r="U21" s="43">
        <v>182</v>
      </c>
      <c r="V21" s="36">
        <v>11839.1</v>
      </c>
      <c r="W21" s="36">
        <v>7502</v>
      </c>
      <c r="X21" s="12">
        <f>O21-U21</f>
        <v>28</v>
      </c>
      <c r="Y21" s="37">
        <f>S21-V21</f>
        <v>1807.8999999999996</v>
      </c>
      <c r="Z21" s="37">
        <f>T21-W21</f>
        <v>1154.6000000000004</v>
      </c>
      <c r="AA21" s="97">
        <f>AB21+AE21</f>
        <v>0</v>
      </c>
      <c r="AB21" s="36">
        <f>AC21+AD21</f>
        <v>0</v>
      </c>
      <c r="AC21" s="39"/>
      <c r="AD21" s="36">
        <v>0</v>
      </c>
      <c r="AE21" s="39"/>
      <c r="AF21" s="96">
        <f>S21+AA21</f>
        <v>13647</v>
      </c>
      <c r="AG21" s="43"/>
      <c r="AH21" s="43">
        <f>2+2+2</f>
        <v>6</v>
      </c>
      <c r="AI21" s="43">
        <f>2+2+2</f>
        <v>6</v>
      </c>
      <c r="AJ21" s="43">
        <f>2+2+2</f>
        <v>6</v>
      </c>
      <c r="AK21" s="43"/>
      <c r="AL21" s="43">
        <f>2+2+2</f>
        <v>6</v>
      </c>
      <c r="AM21" s="43">
        <f>3930+3930+3930</f>
        <v>11790</v>
      </c>
      <c r="AN21" s="43">
        <f>0+583+0</f>
        <v>583</v>
      </c>
      <c r="AO21" s="43">
        <f>0+945+0</f>
        <v>945</v>
      </c>
      <c r="AP21" s="43">
        <f>200+197+262</f>
        <v>659</v>
      </c>
      <c r="AQ21" s="43">
        <f>286+286+286</f>
        <v>858</v>
      </c>
      <c r="AR21" s="43">
        <f>SUM(AS21+AT21)</f>
        <v>21738</v>
      </c>
      <c r="AS21" s="43">
        <f>7246+7246+7246</f>
        <v>21738</v>
      </c>
      <c r="AT21" s="43"/>
      <c r="AU21" s="43">
        <f>2140+2140+2140</f>
        <v>6420</v>
      </c>
      <c r="AV21" s="43">
        <f>165+132+171</f>
        <v>468</v>
      </c>
      <c r="AW21" s="43">
        <f>738+725+729</f>
        <v>2192</v>
      </c>
      <c r="AX21" s="43">
        <f>738+725+729</f>
        <v>2192</v>
      </c>
      <c r="AY21" s="43">
        <f>34+34+34</f>
        <v>102</v>
      </c>
      <c r="AZ21" s="43">
        <f>4+4+4</f>
        <v>12</v>
      </c>
      <c r="BA21" s="43">
        <f>266+266+266</f>
        <v>798</v>
      </c>
      <c r="BB21" s="43">
        <f>686+686+686</f>
        <v>2058</v>
      </c>
      <c r="BC21" s="43"/>
      <c r="BD21" s="43">
        <f>7600+7600+7600</f>
        <v>22800</v>
      </c>
      <c r="BE21" s="43">
        <f>3270+3270+3270</f>
        <v>9810</v>
      </c>
      <c r="BF21" s="43">
        <f>90+90+90</f>
        <v>270</v>
      </c>
      <c r="BG21" s="43"/>
      <c r="BH21" s="43"/>
      <c r="BI21" s="43"/>
      <c r="BJ21" s="43">
        <f>G21</f>
        <v>1</v>
      </c>
      <c r="BK21" s="43">
        <f>S21</f>
        <v>13647</v>
      </c>
      <c r="BL21" s="43">
        <f>T21</f>
        <v>8656.6</v>
      </c>
      <c r="BM21" s="43"/>
      <c r="BN21" s="43"/>
      <c r="BO21" s="43"/>
      <c r="BP21" s="43"/>
      <c r="BQ21" s="43">
        <v>2</v>
      </c>
      <c r="BR21" s="43"/>
      <c r="BS21" s="43"/>
      <c r="BT21" s="43"/>
      <c r="BU21" s="43"/>
      <c r="BV21" s="12">
        <f>AI21*113.64</f>
        <v>681.84</v>
      </c>
      <c r="BW21" s="12">
        <f>AI21*55.25</f>
        <v>331.5</v>
      </c>
      <c r="BX21" s="12">
        <f>AI21*261.83</f>
        <v>1570.98</v>
      </c>
      <c r="BY21" s="43">
        <v>6</v>
      </c>
      <c r="BZ21" s="43"/>
      <c r="CA21" s="43"/>
      <c r="CB21" s="43"/>
      <c r="CC21" s="43">
        <v>6</v>
      </c>
      <c r="CD21" s="114">
        <v>918.3999999999999</v>
      </c>
      <c r="CE21" s="114">
        <v>1405.1</v>
      </c>
      <c r="CF21" s="114">
        <v>16.4</v>
      </c>
      <c r="CG21" s="114">
        <v>6.170000000000002</v>
      </c>
      <c r="CH21" s="114">
        <f>2093+99</f>
        <v>2192</v>
      </c>
      <c r="CI21" s="114"/>
      <c r="CJ21" s="114">
        <v>2192</v>
      </c>
      <c r="CK21" s="99">
        <v>109.13000000000001</v>
      </c>
      <c r="CL21" s="115">
        <v>29.4</v>
      </c>
      <c r="CM21" s="58">
        <f>CD21+CE21+CF21+CG21+CH21+CI21+CJ21+CK21+CL21</f>
        <v>6868.599999999999</v>
      </c>
      <c r="CN21" s="46">
        <f>1890+1585+1628</f>
        <v>5103</v>
      </c>
      <c r="CO21" s="46">
        <f>CN21-K21</f>
        <v>2749</v>
      </c>
      <c r="CP21" s="43"/>
      <c r="CQ21" s="15"/>
      <c r="CR21" s="15"/>
      <c r="CS21" s="43"/>
      <c r="CT21" s="43"/>
      <c r="CV21" s="55">
        <f>IF(CW21&gt;0,G21,"0")</f>
        <v>1</v>
      </c>
      <c r="CW21" s="54">
        <f>AS21</f>
        <v>21738</v>
      </c>
      <c r="CX21" s="55" t="str">
        <f>IF(CY21&gt;0,G21,"0")</f>
        <v>0</v>
      </c>
      <c r="CY21" s="54">
        <f>AT21</f>
        <v>0</v>
      </c>
      <c r="CZ21" s="54">
        <f>CV21+CX21</f>
        <v>1</v>
      </c>
      <c r="DA21" s="54">
        <f>CW21+CY21</f>
        <v>21738</v>
      </c>
    </row>
    <row r="22" spans="1:105" ht="12.75">
      <c r="A22" s="11" t="s">
        <v>127</v>
      </c>
      <c r="B22" s="40">
        <v>16</v>
      </c>
      <c r="C22" s="9" t="s">
        <v>108</v>
      </c>
      <c r="D22" s="10">
        <v>1954</v>
      </c>
      <c r="E22" s="8" t="s">
        <v>87</v>
      </c>
      <c r="F22" s="8" t="s">
        <v>31</v>
      </c>
      <c r="G22" s="13">
        <v>1</v>
      </c>
      <c r="H22" s="8">
        <v>5</v>
      </c>
      <c r="I22" s="8" t="s">
        <v>146</v>
      </c>
      <c r="J22" s="43">
        <v>44928</v>
      </c>
      <c r="K22" s="43">
        <v>2348</v>
      </c>
      <c r="L22" s="217" t="s">
        <v>224</v>
      </c>
      <c r="M22" s="43">
        <v>2814</v>
      </c>
      <c r="N22" s="43">
        <v>0</v>
      </c>
      <c r="O22" s="43">
        <v>101</v>
      </c>
      <c r="P22" s="43">
        <v>256</v>
      </c>
      <c r="Q22" s="43">
        <f>104-1</f>
        <v>103</v>
      </c>
      <c r="R22" s="43">
        <v>221</v>
      </c>
      <c r="S22" s="36">
        <v>7027.81</v>
      </c>
      <c r="T22" s="36">
        <v>4286.82</v>
      </c>
      <c r="U22" s="43">
        <v>88</v>
      </c>
      <c r="V22" s="38">
        <v>6154.65</v>
      </c>
      <c r="W22" s="38">
        <v>3772.14</v>
      </c>
      <c r="X22" s="12">
        <f>O22-U22</f>
        <v>13</v>
      </c>
      <c r="Y22" s="37">
        <f>S22-V22</f>
        <v>873.1600000000008</v>
      </c>
      <c r="Z22" s="37">
        <f>T22-W22</f>
        <v>514.6799999999998</v>
      </c>
      <c r="AA22" s="97">
        <f>AB22+AE22</f>
        <v>2769.62</v>
      </c>
      <c r="AB22" s="36">
        <f>AC22+AD22</f>
        <v>2432.75</v>
      </c>
      <c r="AC22" s="39"/>
      <c r="AD22" s="36">
        <v>2432.75</v>
      </c>
      <c r="AE22" s="39">
        <v>336.87</v>
      </c>
      <c r="AF22" s="96">
        <f>S22+AA22</f>
        <v>9797.43</v>
      </c>
      <c r="AG22" s="43"/>
      <c r="AH22" s="43"/>
      <c r="AI22" s="43">
        <v>6</v>
      </c>
      <c r="AJ22" s="43"/>
      <c r="AK22" s="43"/>
      <c r="AL22" s="43">
        <v>2</v>
      </c>
      <c r="AM22" s="43">
        <v>5540</v>
      </c>
      <c r="AN22" s="43">
        <v>585</v>
      </c>
      <c r="AO22" s="43">
        <v>550</v>
      </c>
      <c r="AP22" s="43">
        <v>321</v>
      </c>
      <c r="AQ22" s="43">
        <v>180</v>
      </c>
      <c r="AR22" s="43">
        <f>SUM(AS22+AT22)</f>
        <v>5958</v>
      </c>
      <c r="AS22" s="43"/>
      <c r="AT22" s="43">
        <v>5958</v>
      </c>
      <c r="AU22" s="43"/>
      <c r="AV22" s="43">
        <v>137</v>
      </c>
      <c r="AW22" s="43">
        <v>2400</v>
      </c>
      <c r="AX22" s="43">
        <v>2400</v>
      </c>
      <c r="AY22" s="43">
        <v>30</v>
      </c>
      <c r="AZ22" s="43">
        <v>12</v>
      </c>
      <c r="BA22" s="43">
        <v>396</v>
      </c>
      <c r="BB22" s="43">
        <v>1002</v>
      </c>
      <c r="BC22" s="43"/>
      <c r="BD22" s="43">
        <v>6333</v>
      </c>
      <c r="BE22" s="43">
        <v>228</v>
      </c>
      <c r="BF22" s="43"/>
      <c r="BG22" s="43">
        <f>G22</f>
        <v>1</v>
      </c>
      <c r="BH22" s="43">
        <f>S22</f>
        <v>7027.81</v>
      </c>
      <c r="BI22" s="43">
        <f>T22</f>
        <v>4286.82</v>
      </c>
      <c r="BJ22" s="43"/>
      <c r="BK22" s="43"/>
      <c r="BL22" s="43"/>
      <c r="BM22" s="43"/>
      <c r="BN22" s="43"/>
      <c r="BO22" s="43"/>
      <c r="BP22" s="43"/>
      <c r="BQ22" s="43">
        <v>4</v>
      </c>
      <c r="BR22" s="43">
        <f>AX22</f>
        <v>2400</v>
      </c>
      <c r="BS22" s="43">
        <v>6455</v>
      </c>
      <c r="BT22" s="43"/>
      <c r="BU22" s="43">
        <f>AM22</f>
        <v>5540</v>
      </c>
      <c r="BV22" s="12">
        <f>AI22*71.04</f>
        <v>426.24</v>
      </c>
      <c r="BW22" s="12">
        <f>AI22*37.13</f>
        <v>222.78000000000003</v>
      </c>
      <c r="BX22" s="12">
        <f>AI22*0</f>
        <v>0</v>
      </c>
      <c r="BY22" s="43">
        <v>3</v>
      </c>
      <c r="BZ22" s="43"/>
      <c r="CA22" s="43"/>
      <c r="CB22" s="43"/>
      <c r="CC22" s="43"/>
      <c r="CD22" s="114">
        <v>805.2</v>
      </c>
      <c r="CE22" s="114"/>
      <c r="CF22" s="114"/>
      <c r="CG22" s="114"/>
      <c r="CH22" s="114">
        <v>2400</v>
      </c>
      <c r="CI22" s="114"/>
      <c r="CJ22" s="114">
        <v>2400</v>
      </c>
      <c r="CK22" s="99">
        <v>51.11</v>
      </c>
      <c r="CL22" s="115"/>
      <c r="CM22" s="58">
        <f>CD22+CE22+CF22+CG22+CH22+CI22+CJ22+CK22+CL22</f>
        <v>5656.3099999999995</v>
      </c>
      <c r="CN22" s="46">
        <v>6185</v>
      </c>
      <c r="CO22" s="46">
        <f>CN22-K22</f>
        <v>3837</v>
      </c>
      <c r="CP22" s="43"/>
      <c r="CQ22" s="15"/>
      <c r="CR22" s="15"/>
      <c r="CS22" s="43"/>
      <c r="CT22" s="43"/>
      <c r="CV22" s="55" t="str">
        <f>IF(CW22&gt;0,G22,"0")</f>
        <v>0</v>
      </c>
      <c r="CW22" s="54">
        <f>AS22</f>
        <v>0</v>
      </c>
      <c r="CX22" s="55">
        <f>IF(CY22&gt;0,G22,"0")</f>
        <v>1</v>
      </c>
      <c r="CY22" s="54">
        <f>AT22</f>
        <v>5958</v>
      </c>
      <c r="CZ22" s="54">
        <f>CV22+CX22</f>
        <v>1</v>
      </c>
      <c r="DA22" s="54">
        <f>CW22+CY22</f>
        <v>5958</v>
      </c>
    </row>
    <row r="23" spans="1:105" ht="12.75">
      <c r="A23" s="11" t="s">
        <v>127</v>
      </c>
      <c r="B23" s="40">
        <v>17</v>
      </c>
      <c r="C23" s="9" t="s">
        <v>109</v>
      </c>
      <c r="D23" s="10">
        <v>1983</v>
      </c>
      <c r="E23" s="8" t="s">
        <v>87</v>
      </c>
      <c r="F23" s="8" t="s">
        <v>30</v>
      </c>
      <c r="G23" s="13">
        <v>1</v>
      </c>
      <c r="H23" s="8">
        <v>9</v>
      </c>
      <c r="I23" s="8" t="s">
        <v>145</v>
      </c>
      <c r="J23" s="43">
        <v>29977</v>
      </c>
      <c r="K23" s="43">
        <v>1181</v>
      </c>
      <c r="L23" s="217" t="s">
        <v>225</v>
      </c>
      <c r="M23" s="43"/>
      <c r="N23" s="43">
        <v>1081</v>
      </c>
      <c r="O23" s="43">
        <v>105</v>
      </c>
      <c r="P23" s="43">
        <v>285</v>
      </c>
      <c r="Q23" s="43">
        <v>105</v>
      </c>
      <c r="R23" s="43">
        <v>223</v>
      </c>
      <c r="S23" s="36">
        <v>6797.1</v>
      </c>
      <c r="T23" s="36">
        <v>4225</v>
      </c>
      <c r="U23" s="43">
        <v>93</v>
      </c>
      <c r="V23" s="38">
        <v>6034.2</v>
      </c>
      <c r="W23" s="38">
        <v>3753</v>
      </c>
      <c r="X23" s="12">
        <f>O23-U23</f>
        <v>12</v>
      </c>
      <c r="Y23" s="37">
        <f>S23-V23</f>
        <v>762.9000000000005</v>
      </c>
      <c r="Z23" s="37">
        <f>T23-W23</f>
        <v>472</v>
      </c>
      <c r="AA23" s="97">
        <f>AB23+AE23</f>
        <v>0</v>
      </c>
      <c r="AB23" s="36">
        <f>AC23+AD23</f>
        <v>0</v>
      </c>
      <c r="AC23" s="39"/>
      <c r="AD23" s="36">
        <v>0</v>
      </c>
      <c r="AE23" s="39"/>
      <c r="AF23" s="96">
        <f>S23+AA23</f>
        <v>6797.1</v>
      </c>
      <c r="AG23" s="43"/>
      <c r="AH23" s="43">
        <v>3</v>
      </c>
      <c r="AI23" s="43">
        <v>3</v>
      </c>
      <c r="AJ23" s="43">
        <v>3</v>
      </c>
      <c r="AK23" s="43"/>
      <c r="AL23" s="43">
        <v>3</v>
      </c>
      <c r="AM23" s="43">
        <v>5400</v>
      </c>
      <c r="AN23" s="43">
        <v>583</v>
      </c>
      <c r="AO23" s="43">
        <v>276</v>
      </c>
      <c r="AP23" s="43">
        <v>360</v>
      </c>
      <c r="AQ23" s="43">
        <v>429</v>
      </c>
      <c r="AR23" s="43">
        <f>SUM(AS23+AT23)</f>
        <v>10869</v>
      </c>
      <c r="AS23" s="43">
        <v>3623</v>
      </c>
      <c r="AT23" s="43">
        <v>7246</v>
      </c>
      <c r="AU23" s="43">
        <v>2970</v>
      </c>
      <c r="AV23" s="43">
        <v>260</v>
      </c>
      <c r="AW23" s="43">
        <v>1085</v>
      </c>
      <c r="AX23" s="43">
        <v>1085</v>
      </c>
      <c r="AY23" s="43">
        <v>51</v>
      </c>
      <c r="AZ23" s="43">
        <v>6</v>
      </c>
      <c r="BA23" s="43">
        <v>381</v>
      </c>
      <c r="BB23" s="43">
        <v>1011</v>
      </c>
      <c r="BC23" s="43"/>
      <c r="BD23" s="43">
        <v>11400</v>
      </c>
      <c r="BE23" s="43">
        <v>4905</v>
      </c>
      <c r="BF23" s="43">
        <v>135</v>
      </c>
      <c r="BG23" s="43"/>
      <c r="BH23" s="43"/>
      <c r="BI23" s="43"/>
      <c r="BJ23" s="43">
        <f>G23</f>
        <v>1</v>
      </c>
      <c r="BK23" s="43">
        <f>S23</f>
        <v>6797.1</v>
      </c>
      <c r="BL23" s="43">
        <f>T23</f>
        <v>4225</v>
      </c>
      <c r="BM23" s="43"/>
      <c r="BN23" s="43"/>
      <c r="BO23" s="43"/>
      <c r="BP23" s="43"/>
      <c r="BQ23" s="43">
        <v>2</v>
      </c>
      <c r="BR23" s="43"/>
      <c r="BS23" s="43"/>
      <c r="BT23" s="43"/>
      <c r="BU23" s="43"/>
      <c r="BV23" s="12">
        <f>AI23*113.64</f>
        <v>340.92</v>
      </c>
      <c r="BW23" s="12">
        <f>AI23*55.25</f>
        <v>165.75</v>
      </c>
      <c r="BX23" s="12">
        <f>AI23*261.83</f>
        <v>785.49</v>
      </c>
      <c r="BY23" s="43">
        <v>2</v>
      </c>
      <c r="BZ23" s="43">
        <v>3</v>
      </c>
      <c r="CA23" s="43">
        <v>3</v>
      </c>
      <c r="CB23" s="43">
        <v>3</v>
      </c>
      <c r="CC23" s="43">
        <v>3</v>
      </c>
      <c r="CD23" s="114">
        <v>470.1</v>
      </c>
      <c r="CE23" s="114">
        <v>715.7</v>
      </c>
      <c r="CF23" s="114">
        <v>8.8</v>
      </c>
      <c r="CG23" s="114">
        <v>18.1</v>
      </c>
      <c r="CH23" s="114">
        <f>1034.6+50.4</f>
        <v>1085</v>
      </c>
      <c r="CI23" s="114"/>
      <c r="CJ23" s="114">
        <v>1085</v>
      </c>
      <c r="CK23" s="99">
        <v>42.2</v>
      </c>
      <c r="CL23" s="115">
        <v>12.8</v>
      </c>
      <c r="CM23" s="58">
        <f>CD23+CE23+CF23+CG23+CH23+CI23+CJ23+CK23+CL23</f>
        <v>3437.7</v>
      </c>
      <c r="CN23" s="46">
        <v>2139</v>
      </c>
      <c r="CO23" s="46">
        <f>CN23-K23</f>
        <v>958</v>
      </c>
      <c r="CP23" s="43"/>
      <c r="CQ23" s="15"/>
      <c r="CR23" s="15"/>
      <c r="CS23" s="43"/>
      <c r="CT23" s="43"/>
      <c r="CV23" s="55"/>
      <c r="CW23" s="54">
        <f>AS23</f>
        <v>3623</v>
      </c>
      <c r="CX23" s="55">
        <f>IF(CY23&gt;0,G23,"0")</f>
        <v>1</v>
      </c>
      <c r="CY23" s="54">
        <f>AT23</f>
        <v>7246</v>
      </c>
      <c r="CZ23" s="54">
        <f>CV23+CX23</f>
        <v>1</v>
      </c>
      <c r="DA23" s="54">
        <f>CW23+CY23</f>
        <v>10869</v>
      </c>
    </row>
    <row r="24" spans="1:105" ht="12.75">
      <c r="A24" s="11" t="s">
        <v>127</v>
      </c>
      <c r="B24" s="40">
        <v>18</v>
      </c>
      <c r="C24" s="9" t="s">
        <v>110</v>
      </c>
      <c r="D24" s="10">
        <v>1954</v>
      </c>
      <c r="E24" s="8" t="s">
        <v>87</v>
      </c>
      <c r="F24" s="8" t="s">
        <v>31</v>
      </c>
      <c r="G24" s="13">
        <v>1</v>
      </c>
      <c r="H24" s="8">
        <v>6</v>
      </c>
      <c r="I24" s="8" t="s">
        <v>146</v>
      </c>
      <c r="J24" s="43">
        <v>36789</v>
      </c>
      <c r="K24" s="43">
        <v>2146</v>
      </c>
      <c r="L24" s="217" t="s">
        <v>226</v>
      </c>
      <c r="M24" s="43">
        <v>3037</v>
      </c>
      <c r="N24" s="43">
        <v>0</v>
      </c>
      <c r="O24" s="43">
        <v>100</v>
      </c>
      <c r="P24" s="43">
        <v>299</v>
      </c>
      <c r="Q24" s="43">
        <f>104-3</f>
        <v>101</v>
      </c>
      <c r="R24" s="43">
        <v>195</v>
      </c>
      <c r="S24" s="36">
        <v>7919.92</v>
      </c>
      <c r="T24" s="36">
        <v>4996.67</v>
      </c>
      <c r="U24" s="43">
        <v>87</v>
      </c>
      <c r="V24" s="38">
        <v>6841.14</v>
      </c>
      <c r="W24" s="38">
        <v>4314.37</v>
      </c>
      <c r="X24" s="12">
        <f>O24-U24</f>
        <v>13</v>
      </c>
      <c r="Y24" s="37">
        <f>S24-V24</f>
        <v>1078.7799999999997</v>
      </c>
      <c r="Z24" s="37">
        <f>T24-W24</f>
        <v>682.3000000000002</v>
      </c>
      <c r="AA24" s="97">
        <f>AB24+AE24</f>
        <v>364.6</v>
      </c>
      <c r="AB24" s="36">
        <f>AC24+AD24</f>
        <v>0</v>
      </c>
      <c r="AC24" s="39"/>
      <c r="AD24" s="36">
        <v>0</v>
      </c>
      <c r="AE24" s="39">
        <v>364.6</v>
      </c>
      <c r="AF24" s="96">
        <f>S24+AA24</f>
        <v>8284.52</v>
      </c>
      <c r="AG24" s="43"/>
      <c r="AH24" s="43"/>
      <c r="AI24" s="43">
        <v>5</v>
      </c>
      <c r="AJ24" s="43"/>
      <c r="AK24" s="43"/>
      <c r="AL24" s="43">
        <v>1</v>
      </c>
      <c r="AM24" s="43">
        <v>5554</v>
      </c>
      <c r="AN24" s="43">
        <v>583</v>
      </c>
      <c r="AO24" s="43">
        <v>360</v>
      </c>
      <c r="AP24" s="43">
        <v>386</v>
      </c>
      <c r="AQ24" s="43">
        <v>150</v>
      </c>
      <c r="AR24" s="43">
        <f>SUM(AS24+AT24)</f>
        <v>5705</v>
      </c>
      <c r="AS24" s="43"/>
      <c r="AT24" s="43">
        <v>5705</v>
      </c>
      <c r="AU24" s="43"/>
      <c r="AV24" s="43">
        <v>126</v>
      </c>
      <c r="AW24" s="43">
        <v>2105</v>
      </c>
      <c r="AX24" s="43">
        <v>2105</v>
      </c>
      <c r="AY24" s="43">
        <v>25</v>
      </c>
      <c r="AZ24" s="43">
        <v>10</v>
      </c>
      <c r="BA24" s="43">
        <v>418</v>
      </c>
      <c r="BB24" s="43">
        <v>1042</v>
      </c>
      <c r="BC24" s="43"/>
      <c r="BD24" s="43">
        <v>8500</v>
      </c>
      <c r="BE24" s="43">
        <v>190</v>
      </c>
      <c r="BF24" s="43"/>
      <c r="BG24" s="43">
        <f>G24</f>
        <v>1</v>
      </c>
      <c r="BH24" s="43">
        <f>S24</f>
        <v>7919.92</v>
      </c>
      <c r="BI24" s="43">
        <f>T24</f>
        <v>4996.67</v>
      </c>
      <c r="BJ24" s="43"/>
      <c r="BK24" s="43"/>
      <c r="BL24" s="43"/>
      <c r="BM24" s="43"/>
      <c r="BN24" s="43"/>
      <c r="BO24" s="43"/>
      <c r="BP24" s="43"/>
      <c r="BQ24" s="43">
        <v>4</v>
      </c>
      <c r="BR24" s="43">
        <f>AX24</f>
        <v>2105</v>
      </c>
      <c r="BS24" s="43">
        <v>6255</v>
      </c>
      <c r="BT24" s="43"/>
      <c r="BU24" s="43">
        <f>AM24</f>
        <v>5554</v>
      </c>
      <c r="BV24" s="12">
        <f>AI24*71.04</f>
        <v>355.20000000000005</v>
      </c>
      <c r="BW24" s="12">
        <f>AI24*37.13</f>
        <v>185.65</v>
      </c>
      <c r="BX24" s="12">
        <f>AI24*0</f>
        <v>0</v>
      </c>
      <c r="BY24" s="43">
        <v>2</v>
      </c>
      <c r="BZ24" s="43"/>
      <c r="CA24" s="43"/>
      <c r="CB24" s="43"/>
      <c r="CC24" s="43"/>
      <c r="CD24" s="114">
        <v>653.6</v>
      </c>
      <c r="CE24" s="114"/>
      <c r="CF24" s="114"/>
      <c r="CG24" s="114"/>
      <c r="CH24" s="114">
        <v>2105</v>
      </c>
      <c r="CI24" s="114"/>
      <c r="CJ24" s="114">
        <v>2105</v>
      </c>
      <c r="CK24" s="99">
        <v>4.42</v>
      </c>
      <c r="CL24" s="115"/>
      <c r="CM24" s="58">
        <f>CD24+CE24+CF24+CG24+CH24+CI24+CJ24+CK24+CL24</f>
        <v>4868.02</v>
      </c>
      <c r="CN24" s="46">
        <v>5405</v>
      </c>
      <c r="CO24" s="46">
        <f>CN24-K24</f>
        <v>3259</v>
      </c>
      <c r="CP24" s="43"/>
      <c r="CQ24" s="15"/>
      <c r="CR24" s="15"/>
      <c r="CS24" s="43"/>
      <c r="CT24" s="43"/>
      <c r="CV24" s="55" t="str">
        <f>IF(CW24&gt;0,G24,"0")</f>
        <v>0</v>
      </c>
      <c r="CW24" s="54">
        <f>AS24</f>
        <v>0</v>
      </c>
      <c r="CX24" s="55">
        <f>IF(CY24&gt;0,G24,"0")</f>
        <v>1</v>
      </c>
      <c r="CY24" s="54">
        <f>AT24</f>
        <v>5705</v>
      </c>
      <c r="CZ24" s="54">
        <f>CV24+CX24</f>
        <v>1</v>
      </c>
      <c r="DA24" s="54">
        <f>CW24+CY24</f>
        <v>5705</v>
      </c>
    </row>
    <row r="25" spans="1:105" ht="12.75">
      <c r="A25" s="11" t="s">
        <v>127</v>
      </c>
      <c r="B25" s="40">
        <v>19</v>
      </c>
      <c r="C25" s="9" t="s">
        <v>111</v>
      </c>
      <c r="D25" s="10">
        <v>1955</v>
      </c>
      <c r="E25" s="8" t="s">
        <v>87</v>
      </c>
      <c r="F25" s="8" t="s">
        <v>31</v>
      </c>
      <c r="G25" s="13">
        <v>1</v>
      </c>
      <c r="H25" s="8">
        <v>5</v>
      </c>
      <c r="I25" s="8" t="s">
        <v>146</v>
      </c>
      <c r="J25" s="43">
        <v>28754</v>
      </c>
      <c r="K25" s="43">
        <v>1656</v>
      </c>
      <c r="L25" s="217" t="s">
        <v>227</v>
      </c>
      <c r="M25" s="43">
        <v>2023</v>
      </c>
      <c r="N25" s="43">
        <v>0</v>
      </c>
      <c r="O25" s="43">
        <v>76</v>
      </c>
      <c r="P25" s="43">
        <v>205</v>
      </c>
      <c r="Q25" s="43">
        <v>74</v>
      </c>
      <c r="R25" s="43">
        <v>119</v>
      </c>
      <c r="S25" s="36">
        <v>5686.6</v>
      </c>
      <c r="T25" s="36">
        <v>3516.96</v>
      </c>
      <c r="U25" s="43">
        <v>51</v>
      </c>
      <c r="V25" s="38">
        <v>3544.3</v>
      </c>
      <c r="W25" s="38">
        <v>2145.31</v>
      </c>
      <c r="X25" s="12">
        <f>O25-U25</f>
        <v>25</v>
      </c>
      <c r="Y25" s="37">
        <f>S25-V25</f>
        <v>2142.3</v>
      </c>
      <c r="Z25" s="37">
        <f>T25-W25</f>
        <v>1371.65</v>
      </c>
      <c r="AA25" s="97">
        <f>AB25+AE25</f>
        <v>345.2</v>
      </c>
      <c r="AB25" s="36">
        <f>AC25+AD25</f>
        <v>0</v>
      </c>
      <c r="AC25" s="39"/>
      <c r="AD25" s="36">
        <v>0</v>
      </c>
      <c r="AE25" s="39">
        <v>345.2</v>
      </c>
      <c r="AF25" s="96">
        <f>S25+AA25</f>
        <v>6031.8</v>
      </c>
      <c r="AG25" s="43"/>
      <c r="AH25" s="43"/>
      <c r="AI25" s="43">
        <v>4</v>
      </c>
      <c r="AJ25" s="43"/>
      <c r="AK25" s="43"/>
      <c r="AL25" s="43">
        <v>1</v>
      </c>
      <c r="AM25" s="43">
        <v>4400</v>
      </c>
      <c r="AN25" s="43">
        <v>583</v>
      </c>
      <c r="AO25" s="43">
        <v>220</v>
      </c>
      <c r="AP25" s="43">
        <v>306</v>
      </c>
      <c r="AQ25" s="43">
        <v>120</v>
      </c>
      <c r="AR25" s="43">
        <f>SUM(AS25+AT25)</f>
        <v>3972</v>
      </c>
      <c r="AS25" s="43"/>
      <c r="AT25" s="43">
        <v>3972</v>
      </c>
      <c r="AU25" s="43"/>
      <c r="AV25" s="43">
        <v>96</v>
      </c>
      <c r="AW25" s="43">
        <v>1654</v>
      </c>
      <c r="AX25" s="43">
        <v>1654</v>
      </c>
      <c r="AY25" s="43">
        <v>20</v>
      </c>
      <c r="AZ25" s="43">
        <v>8</v>
      </c>
      <c r="BA25" s="43">
        <v>299</v>
      </c>
      <c r="BB25" s="43">
        <v>779</v>
      </c>
      <c r="BC25" s="43"/>
      <c r="BD25" s="43">
        <v>6023</v>
      </c>
      <c r="BE25" s="43">
        <v>152</v>
      </c>
      <c r="BF25" s="43"/>
      <c r="BG25" s="43">
        <f>G25</f>
        <v>1</v>
      </c>
      <c r="BH25" s="43">
        <f>S25</f>
        <v>5686.6</v>
      </c>
      <c r="BI25" s="43">
        <f>T25</f>
        <v>3516.96</v>
      </c>
      <c r="BJ25" s="43"/>
      <c r="BK25" s="43"/>
      <c r="BL25" s="43"/>
      <c r="BM25" s="43"/>
      <c r="BN25" s="43"/>
      <c r="BO25" s="43"/>
      <c r="BP25" s="43"/>
      <c r="BQ25" s="43">
        <v>2</v>
      </c>
      <c r="BR25" s="43">
        <f>AX25</f>
        <v>1654</v>
      </c>
      <c r="BS25" s="43">
        <v>5820</v>
      </c>
      <c r="BT25" s="43"/>
      <c r="BU25" s="43">
        <f>AM25</f>
        <v>4400</v>
      </c>
      <c r="BV25" s="12">
        <f>AI25*71.04</f>
        <v>284.16</v>
      </c>
      <c r="BW25" s="12">
        <f>AI25*37.13</f>
        <v>148.52</v>
      </c>
      <c r="BX25" s="12">
        <f>AI25*0</f>
        <v>0</v>
      </c>
      <c r="BY25" s="43">
        <v>1</v>
      </c>
      <c r="BZ25" s="43"/>
      <c r="CA25" s="43"/>
      <c r="CB25" s="43"/>
      <c r="CC25" s="43"/>
      <c r="CD25" s="114">
        <v>553.84</v>
      </c>
      <c r="CE25" s="114"/>
      <c r="CF25" s="114"/>
      <c r="CG25" s="114"/>
      <c r="CH25" s="114">
        <v>1654</v>
      </c>
      <c r="CI25" s="114"/>
      <c r="CJ25" s="114">
        <v>1654</v>
      </c>
      <c r="CK25" s="99">
        <v>18</v>
      </c>
      <c r="CL25" s="115"/>
      <c r="CM25" s="58">
        <f>CD25+CE25+CF25+CG25+CH25+CI25+CJ25+CK25+CL25</f>
        <v>3879.84</v>
      </c>
      <c r="CN25" s="46">
        <v>3911</v>
      </c>
      <c r="CO25" s="46">
        <f>CN25-K25</f>
        <v>2255</v>
      </c>
      <c r="CP25" s="43"/>
      <c r="CQ25" s="15"/>
      <c r="CR25" s="15"/>
      <c r="CS25" s="43"/>
      <c r="CT25" s="43"/>
      <c r="CV25" s="55" t="str">
        <f>IF(CW25&gt;0,G25,"0")</f>
        <v>0</v>
      </c>
      <c r="CW25" s="54">
        <f>AS25</f>
        <v>0</v>
      </c>
      <c r="CX25" s="55">
        <f>IF(CY25&gt;0,G25,"0")</f>
        <v>1</v>
      </c>
      <c r="CY25" s="54">
        <f>AT25</f>
        <v>3972</v>
      </c>
      <c r="CZ25" s="54">
        <f>CV25+CX25</f>
        <v>1</v>
      </c>
      <c r="DA25" s="54">
        <f>CW25+CY25</f>
        <v>3972</v>
      </c>
    </row>
    <row r="26" spans="1:105" ht="12.75">
      <c r="A26" s="11" t="s">
        <v>127</v>
      </c>
      <c r="B26" s="40">
        <v>20</v>
      </c>
      <c r="C26" s="9" t="s">
        <v>112</v>
      </c>
      <c r="D26" s="10">
        <v>1988</v>
      </c>
      <c r="E26" s="8" t="s">
        <v>87</v>
      </c>
      <c r="F26" s="8" t="s">
        <v>30</v>
      </c>
      <c r="G26" s="13">
        <v>1</v>
      </c>
      <c r="H26" s="8">
        <v>9</v>
      </c>
      <c r="I26" s="8" t="s">
        <v>145</v>
      </c>
      <c r="J26" s="43">
        <v>29422</v>
      </c>
      <c r="K26" s="43">
        <v>1192</v>
      </c>
      <c r="L26" s="217" t="s">
        <v>228</v>
      </c>
      <c r="M26" s="43"/>
      <c r="N26" s="43">
        <v>1109</v>
      </c>
      <c r="O26" s="43">
        <v>100</v>
      </c>
      <c r="P26" s="43">
        <v>273</v>
      </c>
      <c r="Q26" s="43">
        <v>101</v>
      </c>
      <c r="R26" s="43">
        <v>219</v>
      </c>
      <c r="S26" s="36">
        <v>6516</v>
      </c>
      <c r="T26" s="36">
        <v>4048.2</v>
      </c>
      <c r="U26" s="43">
        <v>83</v>
      </c>
      <c r="V26" s="38">
        <v>5462.6</v>
      </c>
      <c r="W26" s="38">
        <v>3387.5</v>
      </c>
      <c r="X26" s="12">
        <f>O26-U26</f>
        <v>17</v>
      </c>
      <c r="Y26" s="37">
        <f>S26-V26</f>
        <v>1053.3999999999996</v>
      </c>
      <c r="Z26" s="37">
        <f>T26-W26</f>
        <v>660.6999999999998</v>
      </c>
      <c r="AA26" s="97">
        <f>AB26+AE26</f>
        <v>192.2</v>
      </c>
      <c r="AB26" s="36">
        <f>AC26+AD26</f>
        <v>0</v>
      </c>
      <c r="AC26" s="39"/>
      <c r="AD26" s="36">
        <v>0</v>
      </c>
      <c r="AE26" s="39">
        <v>192.2</v>
      </c>
      <c r="AF26" s="96">
        <f>S26+AA26</f>
        <v>6708.2</v>
      </c>
      <c r="AG26" s="43"/>
      <c r="AH26" s="43">
        <v>3</v>
      </c>
      <c r="AI26" s="43">
        <v>3</v>
      </c>
      <c r="AJ26" s="43">
        <v>3</v>
      </c>
      <c r="AK26" s="43"/>
      <c r="AL26" s="43">
        <v>3</v>
      </c>
      <c r="AM26" s="43">
        <v>5400</v>
      </c>
      <c r="AN26" s="43"/>
      <c r="AO26" s="43">
        <v>390</v>
      </c>
      <c r="AP26" s="43">
        <v>270</v>
      </c>
      <c r="AQ26" s="43">
        <v>429</v>
      </c>
      <c r="AR26" s="43">
        <f>SUM(AS26+AT26)</f>
        <v>10869</v>
      </c>
      <c r="AS26" s="43"/>
      <c r="AT26" s="43">
        <v>10869</v>
      </c>
      <c r="AU26" s="43">
        <v>2970</v>
      </c>
      <c r="AV26" s="43">
        <v>188</v>
      </c>
      <c r="AW26" s="43">
        <v>1075</v>
      </c>
      <c r="AX26" s="43">
        <v>1075</v>
      </c>
      <c r="AY26" s="43">
        <v>51</v>
      </c>
      <c r="AZ26" s="43">
        <v>6</v>
      </c>
      <c r="BA26" s="43">
        <v>384</v>
      </c>
      <c r="BB26" s="43">
        <v>996</v>
      </c>
      <c r="BC26" s="43"/>
      <c r="BD26" s="43">
        <v>11400</v>
      </c>
      <c r="BE26" s="43">
        <v>4905</v>
      </c>
      <c r="BF26" s="43">
        <v>135</v>
      </c>
      <c r="BG26" s="43"/>
      <c r="BH26" s="43"/>
      <c r="BI26" s="43"/>
      <c r="BJ26" s="43">
        <f>G26</f>
        <v>1</v>
      </c>
      <c r="BK26" s="43">
        <f>S26</f>
        <v>6516</v>
      </c>
      <c r="BL26" s="43">
        <f>T26</f>
        <v>4048.2</v>
      </c>
      <c r="BM26" s="43"/>
      <c r="BN26" s="43"/>
      <c r="BO26" s="43"/>
      <c r="BP26" s="43"/>
      <c r="BQ26" s="43">
        <v>3</v>
      </c>
      <c r="BR26" s="43"/>
      <c r="BS26" s="43"/>
      <c r="BT26" s="43"/>
      <c r="BU26" s="43"/>
      <c r="BV26" s="12">
        <f>AI26*113.64</f>
        <v>340.92</v>
      </c>
      <c r="BW26" s="12">
        <f>AI26*55.25</f>
        <v>165.75</v>
      </c>
      <c r="BX26" s="12">
        <f>AI26*261.83</f>
        <v>785.49</v>
      </c>
      <c r="BY26" s="43">
        <v>2</v>
      </c>
      <c r="BZ26" s="43"/>
      <c r="CA26" s="43"/>
      <c r="CB26" s="43"/>
      <c r="CC26" s="43"/>
      <c r="CD26" s="114">
        <v>529.9</v>
      </c>
      <c r="CE26" s="114">
        <v>626.2</v>
      </c>
      <c r="CF26" s="114">
        <v>8.399999999999999</v>
      </c>
      <c r="CG26" s="114">
        <v>12.9</v>
      </c>
      <c r="CH26" s="114">
        <f>895.6+49.2</f>
        <v>944.8000000000001</v>
      </c>
      <c r="CI26" s="114"/>
      <c r="CJ26" s="114">
        <v>1075</v>
      </c>
      <c r="CK26" s="99">
        <v>47.5</v>
      </c>
      <c r="CL26" s="115">
        <v>74.9</v>
      </c>
      <c r="CM26" s="58">
        <f>CD26+CE26+CF26+CG26+CH26+CI26+CJ26+CK26+CL26</f>
        <v>3319.6000000000004</v>
      </c>
      <c r="CN26" s="46">
        <v>2287</v>
      </c>
      <c r="CO26" s="46">
        <f>CN26-K26</f>
        <v>1095</v>
      </c>
      <c r="CP26" s="43"/>
      <c r="CQ26" s="15"/>
      <c r="CR26" s="15"/>
      <c r="CS26" s="43"/>
      <c r="CT26" s="43"/>
      <c r="CV26" s="55" t="str">
        <f>IF(CW26&gt;0,G26,"0")</f>
        <v>0</v>
      </c>
      <c r="CW26" s="54">
        <f>AS26</f>
        <v>0</v>
      </c>
      <c r="CX26" s="55">
        <f>IF(CY26&gt;0,G26,"0")</f>
        <v>1</v>
      </c>
      <c r="CY26" s="54">
        <f>AT26</f>
        <v>10869</v>
      </c>
      <c r="CZ26" s="54">
        <f>CV26+CX26</f>
        <v>1</v>
      </c>
      <c r="DA26" s="54">
        <f>CW26+CY26</f>
        <v>10869</v>
      </c>
    </row>
    <row r="27" spans="1:105" ht="12.75">
      <c r="A27" s="11" t="s">
        <v>127</v>
      </c>
      <c r="B27" s="40">
        <v>21</v>
      </c>
      <c r="C27" s="9" t="s">
        <v>164</v>
      </c>
      <c r="D27" s="10">
        <v>1983</v>
      </c>
      <c r="E27" s="8" t="s">
        <v>87</v>
      </c>
      <c r="F27" s="8" t="s">
        <v>30</v>
      </c>
      <c r="G27" s="13">
        <v>1</v>
      </c>
      <c r="H27" s="8">
        <v>9</v>
      </c>
      <c r="I27" s="8" t="s">
        <v>163</v>
      </c>
      <c r="J27" s="43">
        <f>19786+9827+19410</f>
        <v>49023</v>
      </c>
      <c r="K27" s="43">
        <f>777+413+746</f>
        <v>1936</v>
      </c>
      <c r="L27" s="217" t="s">
        <v>229</v>
      </c>
      <c r="M27" s="43"/>
      <c r="N27" s="43">
        <f>741+381+719</f>
        <v>1841</v>
      </c>
      <c r="O27" s="43">
        <v>175</v>
      </c>
      <c r="P27" s="43">
        <v>445</v>
      </c>
      <c r="Q27" s="43">
        <f>70+35+70</f>
        <v>175</v>
      </c>
      <c r="R27" s="43">
        <v>397</v>
      </c>
      <c r="S27" s="36">
        <v>10834.3</v>
      </c>
      <c r="T27" s="36">
        <v>6635.8</v>
      </c>
      <c r="U27" s="43">
        <v>153</v>
      </c>
      <c r="V27" s="36">
        <v>9435.9</v>
      </c>
      <c r="W27" s="36">
        <v>5786.5</v>
      </c>
      <c r="X27" s="12">
        <f>O27-U27</f>
        <v>22</v>
      </c>
      <c r="Y27" s="37">
        <f>S27-V27</f>
        <v>1398.3999999999996</v>
      </c>
      <c r="Z27" s="37">
        <f>T27-W27</f>
        <v>849.3000000000002</v>
      </c>
      <c r="AA27" s="97">
        <f>AB27+AE27</f>
        <v>0</v>
      </c>
      <c r="AB27" s="36">
        <f>AC27+AD27</f>
        <v>0</v>
      </c>
      <c r="AC27" s="39"/>
      <c r="AD27" s="36">
        <v>0</v>
      </c>
      <c r="AE27" s="39"/>
      <c r="AF27" s="96">
        <f>S27+AA27</f>
        <v>10834.3</v>
      </c>
      <c r="AG27" s="43"/>
      <c r="AH27" s="43">
        <f>2+1+2</f>
        <v>5</v>
      </c>
      <c r="AI27" s="43">
        <f>2+1+2</f>
        <v>5</v>
      </c>
      <c r="AJ27" s="43">
        <f>2+1+2</f>
        <v>5</v>
      </c>
      <c r="AK27" s="43"/>
      <c r="AL27" s="43">
        <f>2+1+2</f>
        <v>5</v>
      </c>
      <c r="AM27" s="43">
        <f>3480+2130+3480</f>
        <v>9090</v>
      </c>
      <c r="AN27" s="43"/>
      <c r="AO27" s="43">
        <v>855</v>
      </c>
      <c r="AP27" s="43">
        <f>140+175+106</f>
        <v>421</v>
      </c>
      <c r="AQ27" s="43">
        <f>286+143+286</f>
        <v>715</v>
      </c>
      <c r="AR27" s="43">
        <f>SUM(AS27+AT27)</f>
        <v>19928</v>
      </c>
      <c r="AS27" s="43">
        <f>7246+5436+7246</f>
        <v>19928</v>
      </c>
      <c r="AT27" s="43"/>
      <c r="AU27" s="43">
        <f>1900+1900</f>
        <v>3800</v>
      </c>
      <c r="AV27" s="43">
        <f>169+103+163</f>
        <v>435</v>
      </c>
      <c r="AW27" s="43">
        <f>720+350+706</f>
        <v>1776</v>
      </c>
      <c r="AX27" s="43">
        <f>720+350+706</f>
        <v>1776</v>
      </c>
      <c r="AY27" s="43">
        <f>34+17+34</f>
        <v>85</v>
      </c>
      <c r="AZ27" s="43">
        <f>4+2+4</f>
        <v>10</v>
      </c>
      <c r="BA27" s="43">
        <f>257+106+257</f>
        <v>620</v>
      </c>
      <c r="BB27" s="43">
        <f>607+298+677</f>
        <v>1582</v>
      </c>
      <c r="BC27" s="43"/>
      <c r="BD27" s="43">
        <f>7600+3800+7600</f>
        <v>19000</v>
      </c>
      <c r="BE27" s="43">
        <f>3270+1635+3270</f>
        <v>8175</v>
      </c>
      <c r="BF27" s="43">
        <f>90+45+90</f>
        <v>225</v>
      </c>
      <c r="BG27" s="43"/>
      <c r="BH27" s="43"/>
      <c r="BI27" s="43"/>
      <c r="BJ27" s="7"/>
      <c r="BK27" s="7"/>
      <c r="BL27" s="7"/>
      <c r="BM27" s="43">
        <f>G27</f>
        <v>1</v>
      </c>
      <c r="BN27" s="43">
        <f>S27</f>
        <v>10834.3</v>
      </c>
      <c r="BO27" s="43">
        <f>T27</f>
        <v>6635.8</v>
      </c>
      <c r="BP27" s="43"/>
      <c r="BQ27" s="43">
        <v>6</v>
      </c>
      <c r="BR27" s="43"/>
      <c r="BS27" s="43"/>
      <c r="BT27" s="43"/>
      <c r="BU27" s="43">
        <v>2130</v>
      </c>
      <c r="BV27" s="12">
        <f>AI27*113.64</f>
        <v>568.2</v>
      </c>
      <c r="BW27" s="12">
        <f>AI27*55.25</f>
        <v>276.25</v>
      </c>
      <c r="BX27" s="12">
        <f>AI27*261.83</f>
        <v>1309.1499999999999</v>
      </c>
      <c r="BY27" s="43">
        <v>4</v>
      </c>
      <c r="BZ27" s="43"/>
      <c r="CA27" s="43"/>
      <c r="CB27" s="43"/>
      <c r="CC27" s="43">
        <v>5</v>
      </c>
      <c r="CD27" s="114">
        <v>903.5999999999999</v>
      </c>
      <c r="CE27" s="114">
        <v>1017.7</v>
      </c>
      <c r="CF27" s="114">
        <v>14.5</v>
      </c>
      <c r="CG27" s="114">
        <v>23.4</v>
      </c>
      <c r="CH27" s="114">
        <f>1635.6+83.3</f>
        <v>1718.8999999999999</v>
      </c>
      <c r="CI27" s="114"/>
      <c r="CJ27" s="114">
        <v>1776</v>
      </c>
      <c r="CK27" s="99">
        <v>84.69999999999999</v>
      </c>
      <c r="CL27" s="115">
        <v>49.599999999999994</v>
      </c>
      <c r="CM27" s="58">
        <f>CD27+CE27+CF27+CG27+CH27+CI27+CJ27+CK27+CL27</f>
        <v>5588.400000000001</v>
      </c>
      <c r="CN27" s="46">
        <v>4129</v>
      </c>
      <c r="CO27" s="46">
        <f>CN27-K27</f>
        <v>2193</v>
      </c>
      <c r="CP27" s="43"/>
      <c r="CQ27" s="15"/>
      <c r="CR27" s="15"/>
      <c r="CS27" s="43"/>
      <c r="CT27" s="43"/>
      <c r="CV27" s="55">
        <f>IF(CW27&gt;0,G27,"0")</f>
        <v>1</v>
      </c>
      <c r="CW27" s="54">
        <f>AS27</f>
        <v>19928</v>
      </c>
      <c r="CX27" s="55" t="str">
        <f>IF(CY27&gt;0,G27,"0")</f>
        <v>0</v>
      </c>
      <c r="CY27" s="54">
        <f>AT27</f>
        <v>0</v>
      </c>
      <c r="CZ27" s="54">
        <f>CV27+CX27</f>
        <v>1</v>
      </c>
      <c r="DA27" s="54">
        <f>CW27+CY27</f>
        <v>19928</v>
      </c>
    </row>
    <row r="28" spans="1:105" ht="12.75">
      <c r="A28" s="11" t="s">
        <v>127</v>
      </c>
      <c r="B28" s="40">
        <v>22</v>
      </c>
      <c r="C28" s="9" t="s">
        <v>113</v>
      </c>
      <c r="D28" s="10">
        <v>1983</v>
      </c>
      <c r="E28" s="8" t="s">
        <v>87</v>
      </c>
      <c r="F28" s="8" t="s">
        <v>30</v>
      </c>
      <c r="G28" s="13">
        <v>1</v>
      </c>
      <c r="H28" s="8">
        <v>9</v>
      </c>
      <c r="I28" s="8" t="s">
        <v>145</v>
      </c>
      <c r="J28" s="43">
        <v>19920</v>
      </c>
      <c r="K28" s="43">
        <v>765</v>
      </c>
      <c r="L28" s="217" t="s">
        <v>230</v>
      </c>
      <c r="M28" s="43"/>
      <c r="N28" s="43">
        <v>763</v>
      </c>
      <c r="O28" s="43">
        <v>70</v>
      </c>
      <c r="P28" s="43">
        <v>196</v>
      </c>
      <c r="Q28" s="43">
        <v>70</v>
      </c>
      <c r="R28" s="43">
        <v>153</v>
      </c>
      <c r="S28" s="36">
        <v>4562</v>
      </c>
      <c r="T28" s="36">
        <v>2875.8</v>
      </c>
      <c r="U28" s="43">
        <v>60</v>
      </c>
      <c r="V28" s="38">
        <v>3896.8</v>
      </c>
      <c r="W28" s="38">
        <v>2461.3</v>
      </c>
      <c r="X28" s="12">
        <f>O28-U28</f>
        <v>10</v>
      </c>
      <c r="Y28" s="37">
        <f>S28-V28</f>
        <v>665.1999999999998</v>
      </c>
      <c r="Z28" s="37">
        <f>T28-W28</f>
        <v>414.5</v>
      </c>
      <c r="AA28" s="97">
        <f>AB28+AE28</f>
        <v>0</v>
      </c>
      <c r="AB28" s="36">
        <f>AC28+AD28</f>
        <v>0</v>
      </c>
      <c r="AC28" s="39"/>
      <c r="AD28" s="36">
        <v>0</v>
      </c>
      <c r="AE28" s="39"/>
      <c r="AF28" s="96">
        <f>S28+AA28</f>
        <v>4562</v>
      </c>
      <c r="AG28" s="43"/>
      <c r="AH28" s="43">
        <v>2</v>
      </c>
      <c r="AI28" s="43">
        <v>2</v>
      </c>
      <c r="AJ28" s="43">
        <v>2</v>
      </c>
      <c r="AK28" s="43"/>
      <c r="AL28" s="43">
        <v>2</v>
      </c>
      <c r="AM28" s="43">
        <v>3930</v>
      </c>
      <c r="AN28" s="43"/>
      <c r="AO28" s="43">
        <v>305</v>
      </c>
      <c r="AP28" s="43">
        <v>223</v>
      </c>
      <c r="AQ28" s="43">
        <v>286</v>
      </c>
      <c r="AR28" s="43">
        <f>SUM(AS28+AT28)</f>
        <v>7246</v>
      </c>
      <c r="AS28" s="43"/>
      <c r="AT28" s="43">
        <v>7246</v>
      </c>
      <c r="AU28" s="43">
        <v>2140</v>
      </c>
      <c r="AV28" s="43">
        <v>167</v>
      </c>
      <c r="AW28" s="43">
        <v>740</v>
      </c>
      <c r="AX28" s="43">
        <v>740</v>
      </c>
      <c r="AY28" s="43">
        <v>34</v>
      </c>
      <c r="AZ28" s="43">
        <v>4</v>
      </c>
      <c r="BA28" s="43">
        <v>260</v>
      </c>
      <c r="BB28" s="43">
        <v>670</v>
      </c>
      <c r="BC28" s="43"/>
      <c r="BD28" s="43">
        <v>7600</v>
      </c>
      <c r="BE28" s="43">
        <v>3270</v>
      </c>
      <c r="BF28" s="43">
        <v>90</v>
      </c>
      <c r="BG28" s="43"/>
      <c r="BH28" s="43"/>
      <c r="BI28" s="43"/>
      <c r="BJ28" s="43">
        <f>G28</f>
        <v>1</v>
      </c>
      <c r="BK28" s="43">
        <f>S28</f>
        <v>4562</v>
      </c>
      <c r="BL28" s="43">
        <f>T28</f>
        <v>2875.8</v>
      </c>
      <c r="BM28" s="43"/>
      <c r="BN28" s="43"/>
      <c r="BO28" s="43"/>
      <c r="BP28" s="43"/>
      <c r="BQ28" s="43">
        <v>2</v>
      </c>
      <c r="BR28" s="43"/>
      <c r="BS28" s="43"/>
      <c r="BT28" s="43"/>
      <c r="BU28" s="43"/>
      <c r="BV28" s="12">
        <f>AI28*113.64</f>
        <v>227.28</v>
      </c>
      <c r="BW28" s="12">
        <f>AI28*55.25</f>
        <v>110.5</v>
      </c>
      <c r="BX28" s="12">
        <f>AI28*261.83</f>
        <v>523.66</v>
      </c>
      <c r="BY28" s="43">
        <v>2</v>
      </c>
      <c r="BZ28" s="43"/>
      <c r="CA28" s="43"/>
      <c r="CB28" s="43"/>
      <c r="CC28" s="43"/>
      <c r="CD28" s="114">
        <v>250.4</v>
      </c>
      <c r="CE28" s="114">
        <v>523.1999999999999</v>
      </c>
      <c r="CF28" s="114">
        <v>6.6</v>
      </c>
      <c r="CG28" s="114">
        <v>1.6</v>
      </c>
      <c r="CH28" s="114">
        <f>707+33</f>
        <v>740</v>
      </c>
      <c r="CI28" s="114"/>
      <c r="CJ28" s="114">
        <v>740</v>
      </c>
      <c r="CK28" s="99">
        <v>35.9</v>
      </c>
      <c r="CL28" s="115">
        <v>9.5</v>
      </c>
      <c r="CM28" s="58">
        <f>CD28+CE28+CF28+CG28+CH28+CI28+CJ28+CK28+CL28</f>
        <v>2307.2000000000003</v>
      </c>
      <c r="CN28" s="46">
        <v>1481</v>
      </c>
      <c r="CO28" s="46">
        <f>CN28-K28</f>
        <v>716</v>
      </c>
      <c r="CP28" s="43"/>
      <c r="CQ28" s="15"/>
      <c r="CR28" s="15"/>
      <c r="CS28" s="43"/>
      <c r="CT28" s="43"/>
      <c r="CV28" s="55" t="str">
        <f>IF(CW28&gt;0,G28,"0")</f>
        <v>0</v>
      </c>
      <c r="CW28" s="54">
        <f>AS28</f>
        <v>0</v>
      </c>
      <c r="CX28" s="55">
        <f>IF(CY28&gt;0,G28,"0")</f>
        <v>1</v>
      </c>
      <c r="CY28" s="54">
        <f>AT28</f>
        <v>7246</v>
      </c>
      <c r="CZ28" s="54">
        <f>CV28+CX28</f>
        <v>1</v>
      </c>
      <c r="DA28" s="54">
        <f>CW28+CY28</f>
        <v>7246</v>
      </c>
    </row>
    <row r="29" spans="1:105" ht="12.75">
      <c r="A29" s="11" t="s">
        <v>127</v>
      </c>
      <c r="B29" s="40">
        <v>23</v>
      </c>
      <c r="C29" s="9" t="s">
        <v>117</v>
      </c>
      <c r="D29" s="10">
        <v>1951</v>
      </c>
      <c r="E29" s="8" t="s">
        <v>87</v>
      </c>
      <c r="F29" s="8" t="s">
        <v>31</v>
      </c>
      <c r="G29" s="13">
        <v>1</v>
      </c>
      <c r="H29" s="8">
        <v>5</v>
      </c>
      <c r="I29" s="8" t="s">
        <v>146</v>
      </c>
      <c r="J29" s="43">
        <v>35082</v>
      </c>
      <c r="K29" s="43">
        <v>1910</v>
      </c>
      <c r="L29" s="217" t="s">
        <v>231</v>
      </c>
      <c r="M29" s="43">
        <v>2296</v>
      </c>
      <c r="N29" s="43">
        <v>0</v>
      </c>
      <c r="O29" s="43">
        <v>72</v>
      </c>
      <c r="P29" s="43">
        <v>185</v>
      </c>
      <c r="Q29" s="43">
        <f>72-3</f>
        <v>69</v>
      </c>
      <c r="R29" s="43">
        <v>157</v>
      </c>
      <c r="S29" s="36">
        <v>5981.1</v>
      </c>
      <c r="T29" s="36">
        <v>3611.82</v>
      </c>
      <c r="U29" s="43">
        <v>66</v>
      </c>
      <c r="V29" s="38">
        <v>5506.81</v>
      </c>
      <c r="W29" s="38">
        <v>3344.8</v>
      </c>
      <c r="X29" s="12">
        <f>O29-U29</f>
        <v>6</v>
      </c>
      <c r="Y29" s="37">
        <f>S29-V29</f>
        <v>474.28999999999996</v>
      </c>
      <c r="Z29" s="37">
        <f>T29-W29</f>
        <v>267.02</v>
      </c>
      <c r="AA29" s="97">
        <f>AB29+AE29</f>
        <v>1218.04</v>
      </c>
      <c r="AB29" s="36">
        <f>AC29+AD29</f>
        <v>719.14</v>
      </c>
      <c r="AC29" s="39"/>
      <c r="AD29" s="36">
        <v>719.14</v>
      </c>
      <c r="AE29" s="39">
        <v>498.9</v>
      </c>
      <c r="AF29" s="96">
        <f>S29+AA29</f>
        <v>7199.14</v>
      </c>
      <c r="AG29" s="43"/>
      <c r="AH29" s="43"/>
      <c r="AI29" s="43">
        <v>4</v>
      </c>
      <c r="AJ29" s="43"/>
      <c r="AK29" s="43"/>
      <c r="AL29" s="43">
        <v>1</v>
      </c>
      <c r="AM29" s="43">
        <v>4640</v>
      </c>
      <c r="AN29" s="43">
        <v>1376</v>
      </c>
      <c r="AO29" s="43">
        <v>360</v>
      </c>
      <c r="AP29" s="43">
        <v>270</v>
      </c>
      <c r="AQ29" s="43">
        <v>120</v>
      </c>
      <c r="AR29" s="43">
        <f>SUM(AS29+AT29)</f>
        <v>3972</v>
      </c>
      <c r="AS29" s="43"/>
      <c r="AT29" s="43">
        <v>3972</v>
      </c>
      <c r="AU29" s="43"/>
      <c r="AV29" s="43">
        <v>128</v>
      </c>
      <c r="AW29" s="43">
        <v>1920</v>
      </c>
      <c r="AX29" s="43">
        <v>1920</v>
      </c>
      <c r="AY29" s="43">
        <v>20</v>
      </c>
      <c r="AZ29" s="43">
        <v>8</v>
      </c>
      <c r="BA29" s="43">
        <v>328</v>
      </c>
      <c r="BB29" s="43">
        <v>688</v>
      </c>
      <c r="BC29" s="43"/>
      <c r="BD29" s="43">
        <v>5351</v>
      </c>
      <c r="BE29" s="43">
        <v>152</v>
      </c>
      <c r="BF29" s="43"/>
      <c r="BG29" s="43">
        <f>G29</f>
        <v>1</v>
      </c>
      <c r="BH29" s="43">
        <f>S29</f>
        <v>5981.1</v>
      </c>
      <c r="BI29" s="43">
        <f>T29</f>
        <v>3611.82</v>
      </c>
      <c r="BJ29" s="43"/>
      <c r="BK29" s="43"/>
      <c r="BL29" s="43"/>
      <c r="BM29" s="43"/>
      <c r="BN29" s="43"/>
      <c r="BO29" s="43"/>
      <c r="BP29" s="43"/>
      <c r="BQ29" s="43">
        <v>6</v>
      </c>
      <c r="BR29" s="43">
        <f>AX29</f>
        <v>1920</v>
      </c>
      <c r="BS29" s="43">
        <v>5217</v>
      </c>
      <c r="BT29" s="43"/>
      <c r="BU29" s="43">
        <f>AM29</f>
        <v>4640</v>
      </c>
      <c r="BV29" s="12">
        <f>AI29*71.04</f>
        <v>284.16</v>
      </c>
      <c r="BW29" s="12">
        <f>AI29*37.13</f>
        <v>148.52</v>
      </c>
      <c r="BX29" s="12">
        <f>AI29*0</f>
        <v>0</v>
      </c>
      <c r="BY29" s="43">
        <v>2</v>
      </c>
      <c r="BZ29" s="43"/>
      <c r="CA29" s="43"/>
      <c r="CB29" s="43"/>
      <c r="CC29" s="43"/>
      <c r="CD29" s="114">
        <v>590.98</v>
      </c>
      <c r="CE29" s="114"/>
      <c r="CF29" s="114"/>
      <c r="CG29" s="114"/>
      <c r="CH29" s="114">
        <v>1920</v>
      </c>
      <c r="CI29" s="114"/>
      <c r="CJ29" s="114">
        <v>1920</v>
      </c>
      <c r="CK29" s="99">
        <v>27.8</v>
      </c>
      <c r="CL29" s="115"/>
      <c r="CM29" s="58">
        <f>CD29+CE29+CF29+CG29+CH29+CI29+CJ29+CK29+CL29</f>
        <v>4458.78</v>
      </c>
      <c r="CN29" s="46">
        <v>5058</v>
      </c>
      <c r="CO29" s="46">
        <f>CN29-K29</f>
        <v>3148</v>
      </c>
      <c r="CP29" s="43"/>
      <c r="CQ29" s="15"/>
      <c r="CR29" s="15"/>
      <c r="CS29" s="43"/>
      <c r="CT29" s="43"/>
      <c r="CV29" s="55" t="str">
        <f>IF(CW29&gt;0,G29,"0")</f>
        <v>0</v>
      </c>
      <c r="CW29" s="54">
        <f>AS29</f>
        <v>0</v>
      </c>
      <c r="CX29" s="55">
        <f>IF(CY29&gt;0,G29,"0")</f>
        <v>1</v>
      </c>
      <c r="CY29" s="54">
        <f>AT29</f>
        <v>3972</v>
      </c>
      <c r="CZ29" s="54">
        <f>CV29+CX29</f>
        <v>1</v>
      </c>
      <c r="DA29" s="54">
        <f>CW29+CY29</f>
        <v>3972</v>
      </c>
    </row>
    <row r="30" spans="1:105" ht="12.75">
      <c r="A30" s="11" t="s">
        <v>127</v>
      </c>
      <c r="B30" s="40">
        <v>24</v>
      </c>
      <c r="C30" s="9" t="s">
        <v>118</v>
      </c>
      <c r="D30" s="10">
        <v>1951</v>
      </c>
      <c r="E30" s="8" t="s">
        <v>87</v>
      </c>
      <c r="F30" s="8" t="s">
        <v>31</v>
      </c>
      <c r="G30" s="13">
        <v>1</v>
      </c>
      <c r="H30" s="8">
        <v>5</v>
      </c>
      <c r="I30" s="8" t="s">
        <v>146</v>
      </c>
      <c r="J30" s="43">
        <v>50810</v>
      </c>
      <c r="K30" s="43">
        <v>2912</v>
      </c>
      <c r="L30" s="217" t="s">
        <v>232</v>
      </c>
      <c r="M30" s="43">
        <v>3315</v>
      </c>
      <c r="N30" s="43">
        <v>0</v>
      </c>
      <c r="O30" s="43">
        <v>103</v>
      </c>
      <c r="P30" s="43">
        <v>275</v>
      </c>
      <c r="Q30" s="43">
        <v>104</v>
      </c>
      <c r="R30" s="43">
        <v>211</v>
      </c>
      <c r="S30" s="36">
        <v>7574.81</v>
      </c>
      <c r="T30" s="36">
        <v>4428.92</v>
      </c>
      <c r="U30" s="43">
        <v>92</v>
      </c>
      <c r="V30" s="38">
        <v>6689.76</v>
      </c>
      <c r="W30" s="38">
        <v>3890.7</v>
      </c>
      <c r="X30" s="12">
        <f>O30-U30</f>
        <v>11</v>
      </c>
      <c r="Y30" s="37">
        <f>S30-V30</f>
        <v>885.0500000000002</v>
      </c>
      <c r="Z30" s="37">
        <f>T30-W30</f>
        <v>538.2200000000003</v>
      </c>
      <c r="AA30" s="97">
        <f>AB30+AE30</f>
        <v>1909.1</v>
      </c>
      <c r="AB30" s="36">
        <f>AC30+AD30</f>
        <v>1909.1</v>
      </c>
      <c r="AC30" s="39"/>
      <c r="AD30" s="36">
        <v>1909.1</v>
      </c>
      <c r="AE30" s="39"/>
      <c r="AF30" s="96">
        <f>S30+AA30</f>
        <v>9483.91</v>
      </c>
      <c r="AG30" s="43"/>
      <c r="AH30" s="43"/>
      <c r="AI30" s="43">
        <v>6</v>
      </c>
      <c r="AJ30" s="43"/>
      <c r="AK30" s="43"/>
      <c r="AL30" s="43">
        <v>2</v>
      </c>
      <c r="AM30" s="43">
        <v>6210</v>
      </c>
      <c r="AN30" s="43">
        <v>1376</v>
      </c>
      <c r="AO30" s="43">
        <v>740</v>
      </c>
      <c r="AP30" s="43">
        <v>704</v>
      </c>
      <c r="AQ30" s="43">
        <v>180</v>
      </c>
      <c r="AR30" s="43">
        <f>SUM(AS30+AT30)</f>
        <v>5958</v>
      </c>
      <c r="AS30" s="43"/>
      <c r="AT30" s="43">
        <v>5958</v>
      </c>
      <c r="AU30" s="43"/>
      <c r="AV30" s="43">
        <v>189</v>
      </c>
      <c r="AW30" s="43">
        <v>2732</v>
      </c>
      <c r="AX30" s="43">
        <v>2732</v>
      </c>
      <c r="AY30" s="43">
        <v>30</v>
      </c>
      <c r="AZ30" s="43">
        <v>12</v>
      </c>
      <c r="BA30" s="43">
        <v>381</v>
      </c>
      <c r="BB30" s="43">
        <v>999</v>
      </c>
      <c r="BC30" s="43"/>
      <c r="BD30" s="43">
        <v>7781</v>
      </c>
      <c r="BE30" s="43">
        <v>228</v>
      </c>
      <c r="BF30" s="43"/>
      <c r="BG30" s="43">
        <f>G30</f>
        <v>1</v>
      </c>
      <c r="BH30" s="43">
        <f>S30</f>
        <v>7574.81</v>
      </c>
      <c r="BI30" s="43">
        <f>T30</f>
        <v>4428.92</v>
      </c>
      <c r="BJ30" s="43"/>
      <c r="BK30" s="43"/>
      <c r="BL30" s="43"/>
      <c r="BM30" s="43"/>
      <c r="BN30" s="43"/>
      <c r="BO30" s="43"/>
      <c r="BP30" s="43"/>
      <c r="BQ30" s="43">
        <v>4</v>
      </c>
      <c r="BR30" s="43">
        <f>AX30</f>
        <v>2732</v>
      </c>
      <c r="BS30" s="43">
        <v>7554</v>
      </c>
      <c r="BT30" s="43"/>
      <c r="BU30" s="43">
        <f>AM30</f>
        <v>6210</v>
      </c>
      <c r="BV30" s="12">
        <f>AI30*71.04</f>
        <v>426.24</v>
      </c>
      <c r="BW30" s="12">
        <f>AI30*37.13</f>
        <v>222.78000000000003</v>
      </c>
      <c r="BX30" s="12">
        <f>AI30*0</f>
        <v>0</v>
      </c>
      <c r="BY30" s="43">
        <v>2</v>
      </c>
      <c r="BZ30" s="43"/>
      <c r="CA30" s="43"/>
      <c r="CB30" s="43"/>
      <c r="CC30" s="43"/>
      <c r="CD30" s="114">
        <v>842.1</v>
      </c>
      <c r="CE30" s="114"/>
      <c r="CF30" s="114"/>
      <c r="CG30" s="114"/>
      <c r="CH30" s="114">
        <v>2732</v>
      </c>
      <c r="CI30" s="114"/>
      <c r="CJ30" s="114">
        <v>2732</v>
      </c>
      <c r="CK30" s="99">
        <v>12</v>
      </c>
      <c r="CL30" s="115"/>
      <c r="CM30" s="58">
        <f>CD30+CE30+CF30+CG30+CH30+CI30+CJ30+CK30+CL30</f>
        <v>6318.1</v>
      </c>
      <c r="CN30" s="46">
        <v>6788</v>
      </c>
      <c r="CO30" s="46">
        <f>CN30-K30</f>
        <v>3876</v>
      </c>
      <c r="CP30" s="43"/>
      <c r="CQ30" s="15"/>
      <c r="CR30" s="15"/>
      <c r="CS30" s="43"/>
      <c r="CT30" s="43"/>
      <c r="CV30" s="55" t="str">
        <f>IF(CW30&gt;0,G30,"0")</f>
        <v>0</v>
      </c>
      <c r="CW30" s="54">
        <f>AS30</f>
        <v>0</v>
      </c>
      <c r="CX30" s="55">
        <f>IF(CY30&gt;0,G30,"0")</f>
        <v>1</v>
      </c>
      <c r="CY30" s="54">
        <f>AT30</f>
        <v>5958</v>
      </c>
      <c r="CZ30" s="54">
        <f>CV30+CX30</f>
        <v>1</v>
      </c>
      <c r="DA30" s="54">
        <f>CW30+CY30</f>
        <v>5958</v>
      </c>
    </row>
    <row r="31" spans="1:105" ht="12.75">
      <c r="A31" s="11" t="s">
        <v>127</v>
      </c>
      <c r="B31" s="40">
        <v>25</v>
      </c>
      <c r="C31" s="9" t="s">
        <v>119</v>
      </c>
      <c r="D31" s="10">
        <v>1954</v>
      </c>
      <c r="E31" s="8" t="s">
        <v>87</v>
      </c>
      <c r="F31" s="8" t="s">
        <v>31</v>
      </c>
      <c r="G31" s="13">
        <v>1</v>
      </c>
      <c r="H31" s="8">
        <v>5</v>
      </c>
      <c r="I31" s="8" t="s">
        <v>146</v>
      </c>
      <c r="J31" s="43">
        <v>51607</v>
      </c>
      <c r="K31" s="43">
        <v>2662</v>
      </c>
      <c r="L31" s="217" t="s">
        <v>233</v>
      </c>
      <c r="M31" s="43">
        <v>3290</v>
      </c>
      <c r="N31" s="43">
        <v>0</v>
      </c>
      <c r="O31" s="43">
        <v>110</v>
      </c>
      <c r="P31" s="43">
        <v>243</v>
      </c>
      <c r="Q31" s="43">
        <v>100</v>
      </c>
      <c r="R31" s="43">
        <v>202</v>
      </c>
      <c r="S31" s="36">
        <v>7620.43</v>
      </c>
      <c r="T31" s="36">
        <v>4189.5</v>
      </c>
      <c r="U31" s="43">
        <v>91</v>
      </c>
      <c r="V31" s="38">
        <v>6367.45</v>
      </c>
      <c r="W31" s="38">
        <v>3505.7</v>
      </c>
      <c r="X31" s="12">
        <f>O31-U31</f>
        <v>19</v>
      </c>
      <c r="Y31" s="37">
        <f>S31-V31</f>
        <v>1252.9800000000005</v>
      </c>
      <c r="Z31" s="37">
        <f>T31-W31</f>
        <v>683.8000000000002</v>
      </c>
      <c r="AA31" s="97">
        <f>AB31+AE31</f>
        <v>2355.6</v>
      </c>
      <c r="AB31" s="39">
        <f>AC31+AD31</f>
        <v>2192.7999999999997</v>
      </c>
      <c r="AC31" s="39"/>
      <c r="AD31" s="39">
        <v>2192.7999999999997</v>
      </c>
      <c r="AE31" s="39">
        <v>162.8</v>
      </c>
      <c r="AF31" s="96">
        <f>S31+AA31</f>
        <v>9976.03</v>
      </c>
      <c r="AG31" s="43"/>
      <c r="AH31" s="43"/>
      <c r="AI31" s="43">
        <v>6</v>
      </c>
      <c r="AJ31" s="43"/>
      <c r="AK31" s="43"/>
      <c r="AL31" s="43">
        <v>2</v>
      </c>
      <c r="AM31" s="43">
        <v>6227</v>
      </c>
      <c r="AN31" s="43">
        <v>1376</v>
      </c>
      <c r="AO31" s="43">
        <v>806</v>
      </c>
      <c r="AP31" s="43">
        <v>542</v>
      </c>
      <c r="AQ31" s="43">
        <v>180</v>
      </c>
      <c r="AR31" s="43">
        <f>SUM(AS31+AT31)</f>
        <v>5958</v>
      </c>
      <c r="AS31" s="43"/>
      <c r="AT31" s="43">
        <v>5958</v>
      </c>
      <c r="AU31" s="43"/>
      <c r="AV31" s="43">
        <v>199</v>
      </c>
      <c r="AW31" s="43">
        <v>2197</v>
      </c>
      <c r="AX31" s="43">
        <v>2197</v>
      </c>
      <c r="AY31" s="43">
        <v>30</v>
      </c>
      <c r="AZ31" s="43">
        <v>12</v>
      </c>
      <c r="BA31" s="43">
        <v>380</v>
      </c>
      <c r="BB31" s="43">
        <v>1106</v>
      </c>
      <c r="BC31" s="43"/>
      <c r="BD31" s="43">
        <v>7765</v>
      </c>
      <c r="BE31" s="43">
        <v>228</v>
      </c>
      <c r="BF31" s="43"/>
      <c r="BG31" s="43">
        <f>G31</f>
        <v>1</v>
      </c>
      <c r="BH31" s="43">
        <f>S31</f>
        <v>7620.43</v>
      </c>
      <c r="BI31" s="43">
        <f>T31</f>
        <v>4189.5</v>
      </c>
      <c r="BJ31" s="43"/>
      <c r="BK31" s="43"/>
      <c r="BL31" s="43"/>
      <c r="BM31" s="43"/>
      <c r="BN31" s="43"/>
      <c r="BO31" s="43"/>
      <c r="BP31" s="43"/>
      <c r="BQ31" s="43">
        <v>5</v>
      </c>
      <c r="BR31" s="43">
        <f>AX31</f>
        <v>2197</v>
      </c>
      <c r="BS31" s="43">
        <v>7380</v>
      </c>
      <c r="BT31" s="43"/>
      <c r="BU31" s="43">
        <f>AM31</f>
        <v>6227</v>
      </c>
      <c r="BV31" s="12">
        <f>AI31*71.04</f>
        <v>426.24</v>
      </c>
      <c r="BW31" s="12">
        <f>AI31*37.13</f>
        <v>222.78000000000003</v>
      </c>
      <c r="BX31" s="12">
        <f>AI31*0</f>
        <v>0</v>
      </c>
      <c r="BY31" s="43">
        <v>2</v>
      </c>
      <c r="BZ31" s="43"/>
      <c r="CA31" s="43"/>
      <c r="CB31" s="43"/>
      <c r="CC31" s="43"/>
      <c r="CD31" s="114">
        <v>983.09</v>
      </c>
      <c r="CE31" s="114"/>
      <c r="CF31" s="114"/>
      <c r="CG31" s="114"/>
      <c r="CH31" s="114">
        <v>2197</v>
      </c>
      <c r="CI31" s="114"/>
      <c r="CJ31" s="114">
        <v>2197</v>
      </c>
      <c r="CK31" s="99">
        <v>18</v>
      </c>
      <c r="CL31" s="115"/>
      <c r="CM31" s="58">
        <f>CD31+CE31+CF31+CG31+CH31+CI31+CJ31+CK31+CL31</f>
        <v>5395.09</v>
      </c>
      <c r="CN31" s="46">
        <v>6582</v>
      </c>
      <c r="CO31" s="46">
        <f>CN31-K31</f>
        <v>3920</v>
      </c>
      <c r="CP31" s="43"/>
      <c r="CQ31" s="15"/>
      <c r="CR31" s="15"/>
      <c r="CS31" s="43"/>
      <c r="CT31" s="43"/>
      <c r="CV31" s="55" t="str">
        <f>IF(CW31&gt;0,G31,"0")</f>
        <v>0</v>
      </c>
      <c r="CW31" s="54">
        <f>AS31</f>
        <v>0</v>
      </c>
      <c r="CX31" s="55">
        <f>IF(CY31&gt;0,G31,"0")</f>
        <v>1</v>
      </c>
      <c r="CY31" s="54">
        <f>AT31</f>
        <v>5958</v>
      </c>
      <c r="CZ31" s="54">
        <f>CV31+CX31</f>
        <v>1</v>
      </c>
      <c r="DA31" s="54">
        <f>CW31+CY31</f>
        <v>5958</v>
      </c>
    </row>
    <row r="32" spans="1:105" ht="12.75">
      <c r="A32" s="11" t="s">
        <v>127</v>
      </c>
      <c r="B32" s="40">
        <v>26</v>
      </c>
      <c r="C32" s="9" t="s">
        <v>120</v>
      </c>
      <c r="D32" s="10">
        <v>1956</v>
      </c>
      <c r="E32" s="8" t="s">
        <v>87</v>
      </c>
      <c r="F32" s="8" t="s">
        <v>31</v>
      </c>
      <c r="G32" s="13">
        <v>1</v>
      </c>
      <c r="H32" s="8">
        <v>6</v>
      </c>
      <c r="I32" s="8" t="s">
        <v>146</v>
      </c>
      <c r="J32" s="43">
        <v>56561</v>
      </c>
      <c r="K32" s="43">
        <v>3054</v>
      </c>
      <c r="L32" s="217" t="s">
        <v>234</v>
      </c>
      <c r="M32" s="43">
        <v>3665</v>
      </c>
      <c r="N32" s="43"/>
      <c r="O32" s="43">
        <v>129</v>
      </c>
      <c r="P32" s="43">
        <v>325</v>
      </c>
      <c r="Q32" s="43">
        <v>100</v>
      </c>
      <c r="R32" s="43">
        <v>274</v>
      </c>
      <c r="S32" s="36">
        <v>9326.7</v>
      </c>
      <c r="T32" s="36">
        <v>5589.9</v>
      </c>
      <c r="U32" s="43">
        <v>110</v>
      </c>
      <c r="V32" s="38">
        <v>7893.5</v>
      </c>
      <c r="W32" s="38">
        <v>4724.6</v>
      </c>
      <c r="X32" s="12">
        <f>O32-U32</f>
        <v>19</v>
      </c>
      <c r="Y32" s="37">
        <f>S32-V32</f>
        <v>1433.2000000000007</v>
      </c>
      <c r="Z32" s="37">
        <f>T32-W32</f>
        <v>865.2999999999993</v>
      </c>
      <c r="AA32" s="97">
        <f>AB32+AE32</f>
        <v>1904.6399999999999</v>
      </c>
      <c r="AB32" s="36">
        <f>AC32+AD32</f>
        <v>1786.04</v>
      </c>
      <c r="AC32" s="39"/>
      <c r="AD32" s="36">
        <v>1786.04</v>
      </c>
      <c r="AE32" s="39">
        <v>118.6</v>
      </c>
      <c r="AF32" s="96">
        <f>S32+AA32</f>
        <v>11231.34</v>
      </c>
      <c r="AG32" s="43"/>
      <c r="AH32" s="43"/>
      <c r="AI32" s="43">
        <v>8</v>
      </c>
      <c r="AJ32" s="43"/>
      <c r="AK32" s="43"/>
      <c r="AL32" s="43">
        <v>2</v>
      </c>
      <c r="AM32" s="43">
        <v>9217</v>
      </c>
      <c r="AN32" s="43">
        <v>1500</v>
      </c>
      <c r="AO32" s="43">
        <v>520</v>
      </c>
      <c r="AP32" s="43">
        <v>534</v>
      </c>
      <c r="AQ32" s="43">
        <v>240</v>
      </c>
      <c r="AR32" s="43">
        <f>SUM(AS32+AT32)</f>
        <v>9120</v>
      </c>
      <c r="AS32" s="43"/>
      <c r="AT32" s="43">
        <v>9120</v>
      </c>
      <c r="AU32" s="43"/>
      <c r="AV32" s="43">
        <v>205</v>
      </c>
      <c r="AW32" s="43">
        <v>3029</v>
      </c>
      <c r="AX32" s="43">
        <v>3029</v>
      </c>
      <c r="AY32" s="43">
        <v>40</v>
      </c>
      <c r="AZ32" s="43">
        <v>16</v>
      </c>
      <c r="BA32" s="43">
        <v>210</v>
      </c>
      <c r="BB32" s="43">
        <v>1262</v>
      </c>
      <c r="BC32" s="43"/>
      <c r="BD32" s="43">
        <v>9291</v>
      </c>
      <c r="BE32" s="43">
        <v>304</v>
      </c>
      <c r="BF32" s="43"/>
      <c r="BG32" s="43">
        <f>G32</f>
        <v>1</v>
      </c>
      <c r="BH32" s="43">
        <f>S32</f>
        <v>9326.7</v>
      </c>
      <c r="BI32" s="43">
        <f>T32</f>
        <v>5589.9</v>
      </c>
      <c r="BJ32" s="43"/>
      <c r="BK32" s="43"/>
      <c r="BL32" s="43"/>
      <c r="BM32" s="43"/>
      <c r="BN32" s="43"/>
      <c r="BO32" s="43"/>
      <c r="BP32" s="43"/>
      <c r="BQ32" s="43">
        <v>5</v>
      </c>
      <c r="BR32" s="43">
        <f>AX32</f>
        <v>3029</v>
      </c>
      <c r="BS32" s="43">
        <v>9582</v>
      </c>
      <c r="BT32" s="43"/>
      <c r="BU32" s="43">
        <f>AM32</f>
        <v>9217</v>
      </c>
      <c r="BV32" s="12">
        <f>AI32*71.04</f>
        <v>568.32</v>
      </c>
      <c r="BW32" s="12">
        <f>AI32*37.13</f>
        <v>297.04</v>
      </c>
      <c r="BX32" s="12">
        <f>AI32*0</f>
        <v>0</v>
      </c>
      <c r="BY32" s="43">
        <v>4</v>
      </c>
      <c r="BZ32" s="43"/>
      <c r="CA32" s="43"/>
      <c r="CB32" s="43"/>
      <c r="CC32" s="43"/>
      <c r="CD32" s="114">
        <v>1061</v>
      </c>
      <c r="CE32" s="114"/>
      <c r="CF32" s="114"/>
      <c r="CG32" s="114"/>
      <c r="CH32" s="114">
        <v>3029</v>
      </c>
      <c r="CI32" s="114"/>
      <c r="CJ32" s="114">
        <v>3029</v>
      </c>
      <c r="CK32" s="99">
        <v>46.2</v>
      </c>
      <c r="CL32" s="115"/>
      <c r="CM32" s="58">
        <f>CD32+CE32+CF32+CG32+CH32+CI32+CJ32+CK32+CL32</f>
        <v>7165.2</v>
      </c>
      <c r="CN32" s="46">
        <v>7807</v>
      </c>
      <c r="CO32" s="46">
        <f>CN32-K32</f>
        <v>4753</v>
      </c>
      <c r="CP32" s="43"/>
      <c r="CQ32" s="15"/>
      <c r="CR32" s="15"/>
      <c r="CS32" s="43"/>
      <c r="CT32" s="43"/>
      <c r="CV32" s="55" t="str">
        <f>IF(CW32&gt;0,G32,"0")</f>
        <v>0</v>
      </c>
      <c r="CW32" s="54">
        <f>AS32</f>
        <v>0</v>
      </c>
      <c r="CX32" s="55">
        <f>IF(CY32&gt;0,G32,"0")</f>
        <v>1</v>
      </c>
      <c r="CY32" s="54">
        <f>AT32</f>
        <v>9120</v>
      </c>
      <c r="CZ32" s="54">
        <f>CV32+CX32</f>
        <v>1</v>
      </c>
      <c r="DA32" s="54">
        <f>CW32+CY32</f>
        <v>9120</v>
      </c>
    </row>
    <row r="33" spans="1:105" ht="12.75">
      <c r="A33" s="11" t="s">
        <v>127</v>
      </c>
      <c r="B33" s="40">
        <v>27</v>
      </c>
      <c r="C33" s="9" t="s">
        <v>121</v>
      </c>
      <c r="D33" s="10">
        <v>1957</v>
      </c>
      <c r="E33" s="8" t="s">
        <v>87</v>
      </c>
      <c r="F33" s="8" t="s">
        <v>31</v>
      </c>
      <c r="G33" s="13">
        <v>1</v>
      </c>
      <c r="H33" s="8">
        <v>5</v>
      </c>
      <c r="I33" s="8" t="s">
        <v>146</v>
      </c>
      <c r="J33" s="43">
        <v>69591</v>
      </c>
      <c r="K33" s="43">
        <v>4092</v>
      </c>
      <c r="L33" s="217" t="s">
        <v>235</v>
      </c>
      <c r="M33" s="43">
        <v>4789</v>
      </c>
      <c r="N33" s="43"/>
      <c r="O33" s="43">
        <v>180</v>
      </c>
      <c r="P33" s="43">
        <v>435</v>
      </c>
      <c r="Q33" s="43">
        <v>212</v>
      </c>
      <c r="R33" s="43">
        <v>355</v>
      </c>
      <c r="S33" s="36">
        <v>12314.66</v>
      </c>
      <c r="T33" s="36">
        <v>7267.87</v>
      </c>
      <c r="U33" s="43">
        <v>157</v>
      </c>
      <c r="V33" s="38">
        <v>10728.06</v>
      </c>
      <c r="W33" s="38">
        <v>6321.97</v>
      </c>
      <c r="X33" s="12">
        <f>O33-U33</f>
        <v>23</v>
      </c>
      <c r="Y33" s="37">
        <f>S33-V33</f>
        <v>1586.6000000000004</v>
      </c>
      <c r="Z33" s="37">
        <f>T33-W33</f>
        <v>945.8999999999996</v>
      </c>
      <c r="AA33" s="97">
        <f>AB33+AE33</f>
        <v>2092.1</v>
      </c>
      <c r="AB33" s="36">
        <f>AC33+AD33</f>
        <v>306.5999999999999</v>
      </c>
      <c r="AC33" s="39"/>
      <c r="AD33" s="36">
        <v>306.5999999999999</v>
      </c>
      <c r="AE33" s="39">
        <v>1785.5</v>
      </c>
      <c r="AF33" s="96">
        <f>S33+AA33</f>
        <v>14406.76</v>
      </c>
      <c r="AG33" s="43"/>
      <c r="AH33" s="43"/>
      <c r="AI33" s="43">
        <v>11</v>
      </c>
      <c r="AJ33" s="43"/>
      <c r="AK33" s="43"/>
      <c r="AL33" s="43">
        <v>2</v>
      </c>
      <c r="AM33" s="43">
        <v>9236</v>
      </c>
      <c r="AN33" s="43">
        <v>1500</v>
      </c>
      <c r="AO33" s="43">
        <v>607</v>
      </c>
      <c r="AP33" s="43">
        <v>535</v>
      </c>
      <c r="AQ33" s="43">
        <v>330</v>
      </c>
      <c r="AR33" s="43">
        <f>SUM(AS33+AT33)</f>
        <v>10826</v>
      </c>
      <c r="AS33" s="43"/>
      <c r="AT33" s="43">
        <f>10923-30-30-37</f>
        <v>10826</v>
      </c>
      <c r="AU33" s="43"/>
      <c r="AV33" s="43">
        <v>263</v>
      </c>
      <c r="AW33" s="43">
        <v>3990</v>
      </c>
      <c r="AX33" s="43">
        <v>3990</v>
      </c>
      <c r="AY33" s="43">
        <v>55</v>
      </c>
      <c r="AZ33" s="43">
        <v>22</v>
      </c>
      <c r="BA33" s="43">
        <f>647-3-3-4</f>
        <v>637</v>
      </c>
      <c r="BB33" s="43">
        <f>1793-3</f>
        <v>1790</v>
      </c>
      <c r="BC33" s="43"/>
      <c r="BD33" s="43">
        <f>12452-120-120-150</f>
        <v>12062</v>
      </c>
      <c r="BE33" s="43">
        <v>418</v>
      </c>
      <c r="BF33" s="43"/>
      <c r="BG33" s="43">
        <f>G33</f>
        <v>1</v>
      </c>
      <c r="BH33" s="43">
        <f>S33</f>
        <v>12314.66</v>
      </c>
      <c r="BI33" s="43">
        <f>T33</f>
        <v>7267.87</v>
      </c>
      <c r="BJ33" s="43"/>
      <c r="BK33" s="43"/>
      <c r="BL33" s="43"/>
      <c r="BM33" s="43"/>
      <c r="BN33" s="43"/>
      <c r="BO33" s="43"/>
      <c r="BP33" s="43"/>
      <c r="BQ33" s="43">
        <v>7</v>
      </c>
      <c r="BR33" s="43">
        <f>AX33</f>
        <v>3990</v>
      </c>
      <c r="BS33" s="43">
        <v>10510</v>
      </c>
      <c r="BT33" s="43"/>
      <c r="BU33" s="43">
        <f>AM33</f>
        <v>9236</v>
      </c>
      <c r="BV33" s="12">
        <f>AI33*71.04</f>
        <v>781.44</v>
      </c>
      <c r="BW33" s="12">
        <f>AI33*37.13</f>
        <v>408.43</v>
      </c>
      <c r="BX33" s="12">
        <f>AI33*0</f>
        <v>0</v>
      </c>
      <c r="BY33" s="43">
        <v>5</v>
      </c>
      <c r="BZ33" s="43"/>
      <c r="CA33" s="43"/>
      <c r="CB33" s="43"/>
      <c r="CC33" s="43"/>
      <c r="CD33" s="114">
        <v>1317.5</v>
      </c>
      <c r="CE33" s="114"/>
      <c r="CF33" s="114"/>
      <c r="CG33" s="114"/>
      <c r="CH33" s="114">
        <v>3990</v>
      </c>
      <c r="CI33" s="114"/>
      <c r="CJ33" s="114">
        <v>3990</v>
      </c>
      <c r="CK33" s="99">
        <v>48</v>
      </c>
      <c r="CL33" s="115"/>
      <c r="CM33" s="58">
        <f>CD33+CE33+CF33+CG33+CH33+CI33+CJ33+CK33+CL33</f>
        <v>9345.5</v>
      </c>
      <c r="CN33" s="46">
        <v>10875</v>
      </c>
      <c r="CO33" s="46">
        <f>CN33-K33</f>
        <v>6783</v>
      </c>
      <c r="CP33" s="43"/>
      <c r="CQ33" s="15"/>
      <c r="CR33" s="15"/>
      <c r="CS33" s="43"/>
      <c r="CT33" s="43"/>
      <c r="CV33" s="55" t="str">
        <f>IF(CW33&gt;0,G33,"0")</f>
        <v>0</v>
      </c>
      <c r="CW33" s="54">
        <f>AS33</f>
        <v>0</v>
      </c>
      <c r="CX33" s="55">
        <f>IF(CY33&gt;0,G33,"0")</f>
        <v>1</v>
      </c>
      <c r="CY33" s="54">
        <f>AT33</f>
        <v>10826</v>
      </c>
      <c r="CZ33" s="54">
        <f>CV33+CX33</f>
        <v>1</v>
      </c>
      <c r="DA33" s="54">
        <f>CW33+CY33</f>
        <v>10826</v>
      </c>
    </row>
    <row r="34" spans="1:105" ht="12.75">
      <c r="A34" s="11" t="s">
        <v>127</v>
      </c>
      <c r="B34" s="40">
        <v>28</v>
      </c>
      <c r="C34" s="9" t="s">
        <v>122</v>
      </c>
      <c r="D34" s="10">
        <v>1956</v>
      </c>
      <c r="E34" s="8" t="s">
        <v>87</v>
      </c>
      <c r="F34" s="8" t="s">
        <v>31</v>
      </c>
      <c r="G34" s="13">
        <v>1</v>
      </c>
      <c r="H34" s="8">
        <v>5</v>
      </c>
      <c r="I34" s="8" t="s">
        <v>146</v>
      </c>
      <c r="J34" s="43">
        <v>12150</v>
      </c>
      <c r="K34" s="43">
        <v>748</v>
      </c>
      <c r="L34" s="217" t="s">
        <v>236</v>
      </c>
      <c r="M34" s="43">
        <v>900</v>
      </c>
      <c r="N34" s="43"/>
      <c r="O34" s="43">
        <v>32</v>
      </c>
      <c r="P34" s="43">
        <v>80</v>
      </c>
      <c r="Q34" s="43">
        <v>32</v>
      </c>
      <c r="R34" s="43">
        <v>77</v>
      </c>
      <c r="S34" s="36">
        <v>2096</v>
      </c>
      <c r="T34" s="36">
        <v>1283.3</v>
      </c>
      <c r="U34" s="43">
        <v>29</v>
      </c>
      <c r="V34" s="38">
        <v>1895.7</v>
      </c>
      <c r="W34" s="38">
        <v>1155.8</v>
      </c>
      <c r="X34" s="12">
        <f>O34-U34</f>
        <v>3</v>
      </c>
      <c r="Y34" s="37">
        <f>S34-V34</f>
        <v>200.29999999999995</v>
      </c>
      <c r="Z34" s="37">
        <f>T34-W34</f>
        <v>127.5</v>
      </c>
      <c r="AA34" s="97">
        <f>AB34+AE34</f>
        <v>530.1</v>
      </c>
      <c r="AB34" s="38">
        <f>AC34+AD34</f>
        <v>0</v>
      </c>
      <c r="AC34" s="39"/>
      <c r="AD34" s="38"/>
      <c r="AE34" s="39">
        <v>530.1</v>
      </c>
      <c r="AF34" s="96">
        <f>S34+AA34</f>
        <v>2626.1</v>
      </c>
      <c r="AG34" s="43"/>
      <c r="AH34" s="43"/>
      <c r="AI34" s="43">
        <v>2</v>
      </c>
      <c r="AJ34" s="43"/>
      <c r="AK34" s="43"/>
      <c r="AL34" s="43">
        <v>1</v>
      </c>
      <c r="AM34" s="43">
        <v>2146</v>
      </c>
      <c r="AN34" s="43">
        <v>585</v>
      </c>
      <c r="AO34" s="43">
        <v>192</v>
      </c>
      <c r="AP34" s="43">
        <v>125</v>
      </c>
      <c r="AQ34" s="43">
        <v>60</v>
      </c>
      <c r="AR34" s="43">
        <f>SUM(AS34+AT34)</f>
        <v>1986</v>
      </c>
      <c r="AS34" s="43"/>
      <c r="AT34" s="43">
        <v>1986</v>
      </c>
      <c r="AU34" s="43"/>
      <c r="AV34" s="43">
        <v>46</v>
      </c>
      <c r="AW34" s="43">
        <v>730</v>
      </c>
      <c r="AX34" s="43">
        <v>730</v>
      </c>
      <c r="AY34" s="43">
        <v>10</v>
      </c>
      <c r="AZ34" s="43">
        <v>4</v>
      </c>
      <c r="BA34" s="43">
        <v>112</v>
      </c>
      <c r="BB34" s="43">
        <v>304</v>
      </c>
      <c r="BC34" s="43"/>
      <c r="BD34" s="43">
        <v>2304</v>
      </c>
      <c r="BE34" s="43">
        <v>76</v>
      </c>
      <c r="BF34" s="43"/>
      <c r="BG34" s="43">
        <f>G34</f>
        <v>1</v>
      </c>
      <c r="BH34" s="43">
        <f>S34</f>
        <v>2096</v>
      </c>
      <c r="BI34" s="43">
        <f>T34</f>
        <v>1283.3</v>
      </c>
      <c r="BJ34" s="43"/>
      <c r="BK34" s="43"/>
      <c r="BL34" s="43"/>
      <c r="BM34" s="43"/>
      <c r="BN34" s="43"/>
      <c r="BO34" s="43"/>
      <c r="BP34" s="43"/>
      <c r="BQ34" s="43">
        <v>1</v>
      </c>
      <c r="BR34" s="43">
        <f>AX34</f>
        <v>730</v>
      </c>
      <c r="BS34" s="43">
        <v>2620</v>
      </c>
      <c r="BT34" s="43"/>
      <c r="BU34" s="43">
        <f>AM34</f>
        <v>2146</v>
      </c>
      <c r="BV34" s="12">
        <f>AI34*71.04</f>
        <v>142.08</v>
      </c>
      <c r="BW34" s="12">
        <f>AI34*37.13</f>
        <v>74.26</v>
      </c>
      <c r="BX34" s="12">
        <f>AI34*0</f>
        <v>0</v>
      </c>
      <c r="BY34" s="43">
        <v>1</v>
      </c>
      <c r="BZ34" s="43"/>
      <c r="CA34" s="43"/>
      <c r="CB34" s="43"/>
      <c r="CC34" s="43"/>
      <c r="CD34" s="114">
        <v>221.1</v>
      </c>
      <c r="CE34" s="114"/>
      <c r="CF34" s="114"/>
      <c r="CG34" s="114"/>
      <c r="CH34" s="114">
        <v>730</v>
      </c>
      <c r="CI34" s="114"/>
      <c r="CJ34" s="114">
        <v>730</v>
      </c>
      <c r="CK34" s="99">
        <v>8.1</v>
      </c>
      <c r="CL34" s="115"/>
      <c r="CM34" s="58">
        <f>CD34+CE34+CF34+CG34+CH34+CI34+CJ34+CK34+CL34</f>
        <v>1689.1999999999998</v>
      </c>
      <c r="CN34" s="46">
        <v>1769</v>
      </c>
      <c r="CO34" s="46">
        <f>CN34-K34</f>
        <v>1021</v>
      </c>
      <c r="CP34" s="43"/>
      <c r="CQ34" s="15"/>
      <c r="CR34" s="15"/>
      <c r="CS34" s="43"/>
      <c r="CT34" s="43"/>
      <c r="CV34" s="55" t="str">
        <f>IF(CW34&gt;0,G34,"0")</f>
        <v>0</v>
      </c>
      <c r="CW34" s="54">
        <f>AS34</f>
        <v>0</v>
      </c>
      <c r="CX34" s="55">
        <f>IF(CY34&gt;0,G34,"0")</f>
        <v>1</v>
      </c>
      <c r="CY34" s="54">
        <f>AT34</f>
        <v>1986</v>
      </c>
      <c r="CZ34" s="54">
        <f>CV34+CX34</f>
        <v>1</v>
      </c>
      <c r="DA34" s="54">
        <f>CW34+CY34</f>
        <v>1986</v>
      </c>
    </row>
    <row r="35" spans="1:105" ht="12.75">
      <c r="A35" s="11" t="s">
        <v>127</v>
      </c>
      <c r="B35" s="40">
        <v>29</v>
      </c>
      <c r="C35" s="9" t="s">
        <v>123</v>
      </c>
      <c r="D35" s="10">
        <v>1957</v>
      </c>
      <c r="E35" s="8" t="s">
        <v>87</v>
      </c>
      <c r="F35" s="8" t="s">
        <v>31</v>
      </c>
      <c r="G35" s="13">
        <v>1</v>
      </c>
      <c r="H35" s="8">
        <v>5</v>
      </c>
      <c r="I35" s="8" t="s">
        <v>146</v>
      </c>
      <c r="J35" s="43">
        <v>18888</v>
      </c>
      <c r="K35" s="43">
        <v>4157</v>
      </c>
      <c r="L35" s="217" t="s">
        <v>237</v>
      </c>
      <c r="M35" s="43">
        <v>4914</v>
      </c>
      <c r="N35" s="43"/>
      <c r="O35" s="43">
        <v>192</v>
      </c>
      <c r="P35" s="43">
        <v>464</v>
      </c>
      <c r="Q35" s="43">
        <v>192</v>
      </c>
      <c r="R35" s="43">
        <v>387</v>
      </c>
      <c r="S35" s="36">
        <v>12900.5</v>
      </c>
      <c r="T35" s="36">
        <v>7666.6</v>
      </c>
      <c r="U35" s="43">
        <v>172</v>
      </c>
      <c r="V35" s="38">
        <v>11554.2</v>
      </c>
      <c r="W35" s="38">
        <v>6862</v>
      </c>
      <c r="X35" s="12">
        <f>O35-U35</f>
        <v>20</v>
      </c>
      <c r="Y35" s="37">
        <f>S35-V35</f>
        <v>1346.2999999999993</v>
      </c>
      <c r="Z35" s="37">
        <f>T35-W35</f>
        <v>804.6000000000004</v>
      </c>
      <c r="AA35" s="97">
        <f>AB35+AE35</f>
        <v>2098.2</v>
      </c>
      <c r="AB35" s="36">
        <f>AC35+AD35</f>
        <v>1599.6</v>
      </c>
      <c r="AC35" s="39"/>
      <c r="AD35" s="36">
        <v>1599.6</v>
      </c>
      <c r="AE35" s="39">
        <v>498.6</v>
      </c>
      <c r="AF35" s="96">
        <f>S35+AA35</f>
        <v>14998.7</v>
      </c>
      <c r="AG35" s="43"/>
      <c r="AH35" s="43"/>
      <c r="AI35" s="43">
        <v>11</v>
      </c>
      <c r="AJ35" s="43"/>
      <c r="AK35" s="43"/>
      <c r="AL35" s="43">
        <v>4</v>
      </c>
      <c r="AM35" s="43">
        <v>9971</v>
      </c>
      <c r="AN35" s="43">
        <v>585</v>
      </c>
      <c r="AO35" s="43">
        <v>845</v>
      </c>
      <c r="AP35" s="43">
        <v>694</v>
      </c>
      <c r="AQ35" s="43">
        <v>330</v>
      </c>
      <c r="AR35" s="43">
        <f>SUM(AS35+AT35)</f>
        <v>10923</v>
      </c>
      <c r="AS35" s="43"/>
      <c r="AT35" s="43">
        <v>10923</v>
      </c>
      <c r="AU35" s="43"/>
      <c r="AV35" s="43">
        <v>249</v>
      </c>
      <c r="AW35" s="43">
        <v>3895</v>
      </c>
      <c r="AX35" s="43">
        <v>3895</v>
      </c>
      <c r="AY35" s="43">
        <v>55</v>
      </c>
      <c r="AZ35" s="43">
        <v>22</v>
      </c>
      <c r="BA35" s="43">
        <v>686</v>
      </c>
      <c r="BB35" s="43">
        <v>1886</v>
      </c>
      <c r="BC35" s="43"/>
      <c r="BD35" s="43">
        <v>13595</v>
      </c>
      <c r="BE35" s="43">
        <v>418</v>
      </c>
      <c r="BF35" s="43"/>
      <c r="BG35" s="43">
        <f>G35</f>
        <v>1</v>
      </c>
      <c r="BH35" s="43">
        <f>S35</f>
        <v>12900.5</v>
      </c>
      <c r="BI35" s="43">
        <f>T35</f>
        <v>7666.6</v>
      </c>
      <c r="BJ35" s="43"/>
      <c r="BK35" s="43"/>
      <c r="BL35" s="43"/>
      <c r="BM35" s="43"/>
      <c r="BN35" s="43"/>
      <c r="BO35" s="43"/>
      <c r="BP35" s="43"/>
      <c r="BQ35" s="43">
        <v>7</v>
      </c>
      <c r="BR35" s="43">
        <f>AX35</f>
        <v>3895</v>
      </c>
      <c r="BS35" s="43">
        <v>10860</v>
      </c>
      <c r="BT35" s="43"/>
      <c r="BU35" s="43">
        <f>AM35</f>
        <v>9971</v>
      </c>
      <c r="BV35" s="12">
        <f>AI35*71.04</f>
        <v>781.44</v>
      </c>
      <c r="BW35" s="12">
        <f>AI35*37.13</f>
        <v>408.43</v>
      </c>
      <c r="BX35" s="12">
        <f>AI35*0</f>
        <v>0</v>
      </c>
      <c r="BY35" s="43">
        <v>6</v>
      </c>
      <c r="BZ35" s="43"/>
      <c r="CA35" s="43"/>
      <c r="CB35" s="43"/>
      <c r="CC35" s="43"/>
      <c r="CD35" s="114">
        <v>1335.5</v>
      </c>
      <c r="CE35" s="114">
        <v>0</v>
      </c>
      <c r="CF35" s="114">
        <v>0</v>
      </c>
      <c r="CG35" s="114">
        <v>0</v>
      </c>
      <c r="CH35" s="114">
        <v>3895</v>
      </c>
      <c r="CI35" s="114"/>
      <c r="CJ35" s="114">
        <v>3895</v>
      </c>
      <c r="CK35" s="99">
        <v>92.30000000000001</v>
      </c>
      <c r="CL35" s="115">
        <v>0</v>
      </c>
      <c r="CM35" s="58">
        <f>CD35+CE35+CF35+CG35+CH35+CI35+CJ35+CK35+CL35</f>
        <v>9217.8</v>
      </c>
      <c r="CN35" s="46">
        <v>11228</v>
      </c>
      <c r="CO35" s="46">
        <f>CN35-K35</f>
        <v>7071</v>
      </c>
      <c r="CP35" s="43"/>
      <c r="CQ35" s="15"/>
      <c r="CR35" s="15"/>
      <c r="CS35" s="43"/>
      <c r="CT35" s="43"/>
      <c r="CV35" s="55" t="str">
        <f>IF(CW35&gt;0,G35,"0")</f>
        <v>0</v>
      </c>
      <c r="CW35" s="54">
        <f>AS35</f>
        <v>0</v>
      </c>
      <c r="CX35" s="55">
        <f>IF(CY35&gt;0,G35,"0")</f>
        <v>1</v>
      </c>
      <c r="CY35" s="54">
        <f>AT35</f>
        <v>10923</v>
      </c>
      <c r="CZ35" s="54">
        <f>CV35+CX35</f>
        <v>1</v>
      </c>
      <c r="DA35" s="54">
        <f>CW35+CY35</f>
        <v>10923</v>
      </c>
    </row>
    <row r="36" spans="1:105" ht="12.75">
      <c r="A36" s="11" t="s">
        <v>127</v>
      </c>
      <c r="B36" s="40">
        <v>30</v>
      </c>
      <c r="C36" s="9" t="s">
        <v>165</v>
      </c>
      <c r="D36" s="10">
        <v>1983</v>
      </c>
      <c r="E36" s="8" t="s">
        <v>87</v>
      </c>
      <c r="F36" s="8" t="s">
        <v>30</v>
      </c>
      <c r="G36" s="13">
        <v>1</v>
      </c>
      <c r="H36" s="8">
        <v>9</v>
      </c>
      <c r="I36" s="8" t="s">
        <v>145</v>
      </c>
      <c r="J36" s="43">
        <f>19283+13445+19376</f>
        <v>52104</v>
      </c>
      <c r="K36" s="43">
        <f>743+558+748</f>
        <v>2049</v>
      </c>
      <c r="L36" s="217" t="s">
        <v>238</v>
      </c>
      <c r="M36" s="43"/>
      <c r="N36" s="43">
        <f>700+510+705</f>
        <v>1915</v>
      </c>
      <c r="O36" s="43">
        <v>192</v>
      </c>
      <c r="P36" s="43">
        <v>459</v>
      </c>
      <c r="Q36" s="43">
        <f>54+70+70</f>
        <v>194</v>
      </c>
      <c r="R36" s="43">
        <v>398</v>
      </c>
      <c r="S36" s="36">
        <v>11640.2</v>
      </c>
      <c r="T36" s="36">
        <v>7084.7</v>
      </c>
      <c r="U36" s="43">
        <v>159</v>
      </c>
      <c r="V36" s="36">
        <v>9514.7</v>
      </c>
      <c r="W36" s="36">
        <v>5773</v>
      </c>
      <c r="X36" s="12">
        <f>O36-U36</f>
        <v>33</v>
      </c>
      <c r="Y36" s="37">
        <f>S36-V36</f>
        <v>2125.5</v>
      </c>
      <c r="Z36" s="37">
        <f>T36-W36</f>
        <v>1311.6999999999998</v>
      </c>
      <c r="AA36" s="97">
        <f>AB36+AE36</f>
        <v>95.5</v>
      </c>
      <c r="AB36" s="36">
        <f>AC36+AD36</f>
        <v>95.5</v>
      </c>
      <c r="AC36" s="39"/>
      <c r="AD36" s="36">
        <v>95.5</v>
      </c>
      <c r="AE36" s="39"/>
      <c r="AF36" s="96">
        <f>S36+AA36</f>
        <v>11735.7</v>
      </c>
      <c r="AG36" s="43"/>
      <c r="AH36" s="43">
        <v>5</v>
      </c>
      <c r="AI36" s="43">
        <v>5</v>
      </c>
      <c r="AJ36" s="43">
        <v>5</v>
      </c>
      <c r="AK36" s="43"/>
      <c r="AL36" s="43">
        <v>5</v>
      </c>
      <c r="AM36" s="43">
        <f>2130+3480+3480</f>
        <v>9090</v>
      </c>
      <c r="AN36" s="43">
        <v>583</v>
      </c>
      <c r="AO36" s="43">
        <v>660</v>
      </c>
      <c r="AP36" s="43">
        <f>106+168+262</f>
        <v>536</v>
      </c>
      <c r="AQ36" s="43">
        <f>143+286+286</f>
        <v>715</v>
      </c>
      <c r="AR36" s="43">
        <f>SUM(AS36+AT36)</f>
        <v>19928</v>
      </c>
      <c r="AS36" s="43"/>
      <c r="AT36" s="43">
        <f>5436+7246+7246</f>
        <v>19928</v>
      </c>
      <c r="AU36" s="43">
        <v>1900</v>
      </c>
      <c r="AV36" s="43">
        <f>169+132+170</f>
        <v>471</v>
      </c>
      <c r="AW36" s="43">
        <f>510+701+701</f>
        <v>1912</v>
      </c>
      <c r="AX36" s="43">
        <f>510+701+701</f>
        <v>1912</v>
      </c>
      <c r="AY36" s="43">
        <f>34+17+34</f>
        <v>85</v>
      </c>
      <c r="AZ36" s="43">
        <v>10</v>
      </c>
      <c r="BA36" s="43">
        <f>141+257+258</f>
        <v>656</v>
      </c>
      <c r="BB36" s="43">
        <f>459+677+678</f>
        <v>1814</v>
      </c>
      <c r="BC36" s="43"/>
      <c r="BD36" s="43">
        <f>3800+7600+7600</f>
        <v>19000</v>
      </c>
      <c r="BE36" s="43">
        <f>1635+3270+3270</f>
        <v>8175</v>
      </c>
      <c r="BF36" s="43">
        <f>45+90+90</f>
        <v>225</v>
      </c>
      <c r="BG36" s="43"/>
      <c r="BH36" s="43"/>
      <c r="BI36" s="43"/>
      <c r="BJ36" s="43">
        <f>G36</f>
        <v>1</v>
      </c>
      <c r="BK36" s="43">
        <f>S36</f>
        <v>11640.2</v>
      </c>
      <c r="BL36" s="43">
        <f>T36</f>
        <v>7084.7</v>
      </c>
      <c r="BM36" s="43"/>
      <c r="BN36" s="43"/>
      <c r="BO36" s="43"/>
      <c r="BP36" s="43"/>
      <c r="BQ36" s="43">
        <v>4</v>
      </c>
      <c r="BR36" s="43"/>
      <c r="BS36" s="43"/>
      <c r="BT36" s="43"/>
      <c r="BU36" s="43"/>
      <c r="BV36" s="12">
        <f>AI36*113.64</f>
        <v>568.2</v>
      </c>
      <c r="BW36" s="12">
        <f>AI36*55.25</f>
        <v>276.25</v>
      </c>
      <c r="BX36" s="12">
        <f>AI36*261.83</f>
        <v>1309.1499999999999</v>
      </c>
      <c r="BY36" s="43">
        <v>4</v>
      </c>
      <c r="BZ36" s="43"/>
      <c r="CA36" s="43"/>
      <c r="CB36" s="43"/>
      <c r="CC36" s="43"/>
      <c r="CD36" s="114">
        <v>955.1</v>
      </c>
      <c r="CE36" s="114">
        <v>1120.2</v>
      </c>
      <c r="CF36" s="114">
        <v>32.7</v>
      </c>
      <c r="CG36" s="114">
        <v>24.200000000000003</v>
      </c>
      <c r="CH36" s="114">
        <f>1707+88.3</f>
        <v>1795.3</v>
      </c>
      <c r="CI36" s="114"/>
      <c r="CJ36" s="114">
        <v>1912</v>
      </c>
      <c r="CK36" s="99">
        <v>79.6</v>
      </c>
      <c r="CL36" s="115">
        <v>29.3</v>
      </c>
      <c r="CM36" s="58">
        <f>CD36+CE36+CF36+CG36+CH36+CI36+CJ36+CK36+CL36</f>
        <v>5948.400000000001</v>
      </c>
      <c r="CN36" s="46">
        <v>4791</v>
      </c>
      <c r="CO36" s="46">
        <f>CN36-K36</f>
        <v>2742</v>
      </c>
      <c r="CP36" s="43"/>
      <c r="CQ36" s="15"/>
      <c r="CR36" s="15"/>
      <c r="CS36" s="43"/>
      <c r="CT36" s="43"/>
      <c r="CV36" s="55" t="str">
        <f>IF(CW36&gt;0,G36,"0")</f>
        <v>0</v>
      </c>
      <c r="CW36" s="54">
        <f>AS36</f>
        <v>0</v>
      </c>
      <c r="CX36" s="55">
        <f>IF(CY36&gt;0,G36,"0")</f>
        <v>1</v>
      </c>
      <c r="CY36" s="54">
        <f>AT36</f>
        <v>19928</v>
      </c>
      <c r="CZ36" s="54">
        <f>CV36+CX36</f>
        <v>1</v>
      </c>
      <c r="DA36" s="54">
        <f>CW36+CY36</f>
        <v>19928</v>
      </c>
    </row>
    <row r="37" spans="1:105" ht="12.75">
      <c r="A37" s="11" t="s">
        <v>127</v>
      </c>
      <c r="B37" s="40">
        <v>31</v>
      </c>
      <c r="C37" s="9" t="s">
        <v>114</v>
      </c>
      <c r="D37" s="10">
        <v>1985</v>
      </c>
      <c r="E37" s="8" t="s">
        <v>87</v>
      </c>
      <c r="F37" s="8" t="s">
        <v>157</v>
      </c>
      <c r="G37" s="13">
        <v>1</v>
      </c>
      <c r="H37" s="8">
        <v>9</v>
      </c>
      <c r="I37" s="8" t="s">
        <v>146</v>
      </c>
      <c r="J37" s="43">
        <v>19996</v>
      </c>
      <c r="K37" s="43">
        <v>1340</v>
      </c>
      <c r="L37" s="217" t="s">
        <v>239</v>
      </c>
      <c r="M37" s="43"/>
      <c r="N37" s="43">
        <v>1227</v>
      </c>
      <c r="O37" s="43">
        <v>96</v>
      </c>
      <c r="P37" s="43">
        <v>208</v>
      </c>
      <c r="Q37" s="43">
        <v>96</v>
      </c>
      <c r="R37" s="43">
        <v>188</v>
      </c>
      <c r="S37" s="36">
        <v>4991.1</v>
      </c>
      <c r="T37" s="36">
        <v>2832</v>
      </c>
      <c r="U37" s="43">
        <v>82</v>
      </c>
      <c r="V37" s="38">
        <v>4202</v>
      </c>
      <c r="W37" s="38">
        <v>2366</v>
      </c>
      <c r="X37" s="12">
        <f>O37-U37</f>
        <v>14</v>
      </c>
      <c r="Y37" s="37">
        <f>S37-V37</f>
        <v>789.1000000000004</v>
      </c>
      <c r="Z37" s="37">
        <f>T37-W37</f>
        <v>466</v>
      </c>
      <c r="AA37" s="97">
        <f>AB37+AE37</f>
        <v>707</v>
      </c>
      <c r="AB37" s="36">
        <f>AC37+AD37</f>
        <v>707</v>
      </c>
      <c r="AC37" s="39"/>
      <c r="AD37" s="36">
        <v>707</v>
      </c>
      <c r="AE37" s="39"/>
      <c r="AF37" s="96">
        <f>S37+AA37</f>
        <v>5698.1</v>
      </c>
      <c r="AG37" s="43"/>
      <c r="AH37" s="43">
        <v>3</v>
      </c>
      <c r="AI37" s="43">
        <v>3</v>
      </c>
      <c r="AJ37" s="43">
        <v>3</v>
      </c>
      <c r="AK37" s="43"/>
      <c r="AL37" s="43">
        <v>3</v>
      </c>
      <c r="AM37" s="43">
        <v>4680</v>
      </c>
      <c r="AN37" s="43">
        <v>583</v>
      </c>
      <c r="AO37" s="43">
        <v>340</v>
      </c>
      <c r="AP37" s="43">
        <v>262</v>
      </c>
      <c r="AQ37" s="43">
        <v>210</v>
      </c>
      <c r="AR37" s="43">
        <f>SUM(AS37+AT37)</f>
        <v>6360</v>
      </c>
      <c r="AS37" s="43"/>
      <c r="AT37" s="43">
        <v>6360</v>
      </c>
      <c r="AU37" s="43"/>
      <c r="AV37" s="43">
        <v>274</v>
      </c>
      <c r="AW37" s="43">
        <v>1110</v>
      </c>
      <c r="AX37" s="43">
        <v>1110</v>
      </c>
      <c r="AY37" s="43">
        <v>0</v>
      </c>
      <c r="AZ37" s="43">
        <v>6</v>
      </c>
      <c r="BA37" s="43">
        <v>256</v>
      </c>
      <c r="BB37" s="43">
        <v>654</v>
      </c>
      <c r="BC37" s="43"/>
      <c r="BD37" s="43">
        <v>17100</v>
      </c>
      <c r="BE37" s="43">
        <v>4905</v>
      </c>
      <c r="BF37" s="43">
        <v>135</v>
      </c>
      <c r="BG37" s="43">
        <f>G37</f>
        <v>1</v>
      </c>
      <c r="BH37" s="43">
        <f>S37</f>
        <v>4991.1</v>
      </c>
      <c r="BI37" s="43">
        <f>T37</f>
        <v>2832</v>
      </c>
      <c r="BJ37" s="43"/>
      <c r="BK37" s="43"/>
      <c r="BL37" s="43"/>
      <c r="BM37" s="43"/>
      <c r="BN37" s="43"/>
      <c r="BO37" s="43"/>
      <c r="BP37" s="43"/>
      <c r="BQ37" s="43">
        <v>3</v>
      </c>
      <c r="BR37" s="43">
        <f>AX37</f>
        <v>1110</v>
      </c>
      <c r="BS37" s="43">
        <v>10123</v>
      </c>
      <c r="BT37" s="43"/>
      <c r="BU37" s="43">
        <f>AM37</f>
        <v>4680</v>
      </c>
      <c r="BV37" s="12">
        <f>AI37*308.22</f>
        <v>924.6600000000001</v>
      </c>
      <c r="BW37" s="12">
        <f>AI37*55.68</f>
        <v>167.04</v>
      </c>
      <c r="BX37" s="12">
        <f>AI37*0</f>
        <v>0</v>
      </c>
      <c r="BY37" s="43">
        <v>2</v>
      </c>
      <c r="BZ37" s="43"/>
      <c r="CA37" s="43"/>
      <c r="CB37" s="43"/>
      <c r="CC37" s="43"/>
      <c r="CD37" s="114">
        <v>1095.5</v>
      </c>
      <c r="CE37" s="114"/>
      <c r="CF37" s="114">
        <v>7.800000000000001</v>
      </c>
      <c r="CG37" s="114"/>
      <c r="CH37" s="114">
        <f>676.2+34.7</f>
        <v>710.9000000000001</v>
      </c>
      <c r="CI37" s="114"/>
      <c r="CJ37" s="114">
        <v>1110</v>
      </c>
      <c r="CK37" s="99">
        <v>25.6</v>
      </c>
      <c r="CL37" s="115">
        <v>39.4</v>
      </c>
      <c r="CM37" s="58">
        <f>CD37+CE37+CF37+CG37+CH37+CI37+CJ37+CK37+CL37</f>
        <v>2989.2</v>
      </c>
      <c r="CN37" s="46">
        <v>3695</v>
      </c>
      <c r="CO37" s="46">
        <f>CN37-K37</f>
        <v>2355</v>
      </c>
      <c r="CP37" s="43"/>
      <c r="CQ37" s="15"/>
      <c r="CR37" s="15"/>
      <c r="CS37" s="43"/>
      <c r="CT37" s="43"/>
      <c r="CV37" s="55" t="str">
        <f>IF(CW37&gt;0,G37,"0")</f>
        <v>0</v>
      </c>
      <c r="CW37" s="54">
        <f>AS37</f>
        <v>0</v>
      </c>
      <c r="CX37" s="55">
        <f>IF(CY37&gt;0,G37,"0")</f>
        <v>1</v>
      </c>
      <c r="CY37" s="54">
        <f>AT37</f>
        <v>6360</v>
      </c>
      <c r="CZ37" s="54">
        <f>CV37+CX37</f>
        <v>1</v>
      </c>
      <c r="DA37" s="54">
        <f>CW37+CY37</f>
        <v>6360</v>
      </c>
    </row>
    <row r="38" spans="1:105" ht="12.75">
      <c r="A38" s="11" t="s">
        <v>127</v>
      </c>
      <c r="B38" s="40">
        <v>32</v>
      </c>
      <c r="C38" s="9" t="s">
        <v>115</v>
      </c>
      <c r="D38" s="10">
        <v>1983</v>
      </c>
      <c r="E38" s="8" t="s">
        <v>87</v>
      </c>
      <c r="F38" s="8" t="s">
        <v>157</v>
      </c>
      <c r="G38" s="13">
        <v>1</v>
      </c>
      <c r="H38" s="8">
        <v>9</v>
      </c>
      <c r="I38" s="8" t="s">
        <v>146</v>
      </c>
      <c r="J38" s="43">
        <v>12849</v>
      </c>
      <c r="K38" s="43">
        <v>1075</v>
      </c>
      <c r="L38" s="217" t="s">
        <v>240</v>
      </c>
      <c r="M38" s="43"/>
      <c r="N38" s="43">
        <v>1075</v>
      </c>
      <c r="O38" s="43">
        <v>63</v>
      </c>
      <c r="P38" s="43">
        <v>143</v>
      </c>
      <c r="Q38" s="43">
        <v>64</v>
      </c>
      <c r="R38" s="43">
        <v>119</v>
      </c>
      <c r="S38" s="36">
        <v>3308.6</v>
      </c>
      <c r="T38" s="36">
        <v>1941.4</v>
      </c>
      <c r="U38" s="43">
        <v>55</v>
      </c>
      <c r="V38" s="38">
        <v>2847.7</v>
      </c>
      <c r="W38" s="38">
        <v>1664.9</v>
      </c>
      <c r="X38" s="12">
        <f>O38-U38</f>
        <v>8</v>
      </c>
      <c r="Y38" s="37">
        <f>S38-V38</f>
        <v>460.9000000000001</v>
      </c>
      <c r="Z38" s="37">
        <f>T38-W38</f>
        <v>276.5</v>
      </c>
      <c r="AA38" s="97">
        <f>AB38+AE38</f>
        <v>640.5</v>
      </c>
      <c r="AB38" s="36">
        <f>AC38+AD38</f>
        <v>640.5</v>
      </c>
      <c r="AC38" s="39"/>
      <c r="AD38" s="36">
        <v>640.5</v>
      </c>
      <c r="AE38" s="39"/>
      <c r="AF38" s="96">
        <f>S38+AA38</f>
        <v>3949.1</v>
      </c>
      <c r="AG38" s="43"/>
      <c r="AH38" s="43">
        <v>2</v>
      </c>
      <c r="AI38" s="43">
        <v>2</v>
      </c>
      <c r="AJ38" s="43">
        <v>2</v>
      </c>
      <c r="AK38" s="43"/>
      <c r="AL38" s="43">
        <v>2</v>
      </c>
      <c r="AM38" s="43">
        <v>4680</v>
      </c>
      <c r="AN38" s="43">
        <v>583</v>
      </c>
      <c r="AO38" s="43">
        <v>215</v>
      </c>
      <c r="AP38" s="43">
        <v>234</v>
      </c>
      <c r="AQ38" s="43">
        <v>140</v>
      </c>
      <c r="AR38" s="43">
        <f>SUM(AS38+AT38)</f>
        <v>4240</v>
      </c>
      <c r="AS38" s="43"/>
      <c r="AT38" s="43">
        <v>4240</v>
      </c>
      <c r="AU38" s="43"/>
      <c r="AV38" s="43">
        <v>195</v>
      </c>
      <c r="AW38" s="43">
        <v>980</v>
      </c>
      <c r="AX38" s="43">
        <v>980</v>
      </c>
      <c r="AY38" s="43">
        <v>0</v>
      </c>
      <c r="AZ38" s="43">
        <v>4</v>
      </c>
      <c r="BA38" s="43">
        <v>237</v>
      </c>
      <c r="BB38" s="43">
        <v>584</v>
      </c>
      <c r="BC38" s="43"/>
      <c r="BD38" s="43">
        <v>11400</v>
      </c>
      <c r="BE38" s="43">
        <v>3270</v>
      </c>
      <c r="BF38" s="43">
        <v>90</v>
      </c>
      <c r="BG38" s="43">
        <f>G38</f>
        <v>1</v>
      </c>
      <c r="BH38" s="43">
        <f>S38</f>
        <v>3308.6</v>
      </c>
      <c r="BI38" s="43">
        <f>T38</f>
        <v>1941.4</v>
      </c>
      <c r="BJ38" s="43"/>
      <c r="BK38" s="43"/>
      <c r="BL38" s="43"/>
      <c r="BM38" s="43"/>
      <c r="BN38" s="43"/>
      <c r="BO38" s="43"/>
      <c r="BP38" s="43"/>
      <c r="BQ38" s="43">
        <v>1</v>
      </c>
      <c r="BR38" s="43">
        <f>AX38</f>
        <v>980</v>
      </c>
      <c r="BS38" s="43">
        <v>7036</v>
      </c>
      <c r="BT38" s="43"/>
      <c r="BU38" s="43">
        <f>AM38</f>
        <v>4680</v>
      </c>
      <c r="BV38" s="12">
        <f>AI38*308.22</f>
        <v>616.44</v>
      </c>
      <c r="BW38" s="12">
        <f>AI38*55.68</f>
        <v>111.36</v>
      </c>
      <c r="BX38" s="12">
        <f>AI38*0</f>
        <v>0</v>
      </c>
      <c r="BY38" s="43">
        <v>2</v>
      </c>
      <c r="BZ38" s="43"/>
      <c r="CA38" s="43"/>
      <c r="CB38" s="43"/>
      <c r="CC38" s="43"/>
      <c r="CD38" s="114">
        <v>717.2</v>
      </c>
      <c r="CE38" s="114"/>
      <c r="CF38" s="114">
        <v>5.4</v>
      </c>
      <c r="CG38" s="114"/>
      <c r="CH38" s="114">
        <f>467.2+24.5</f>
        <v>491.7</v>
      </c>
      <c r="CI38" s="114"/>
      <c r="CJ38" s="114">
        <v>980</v>
      </c>
      <c r="CK38" s="99">
        <v>18</v>
      </c>
      <c r="CL38" s="115">
        <v>13.4</v>
      </c>
      <c r="CM38" s="58">
        <f>CD38+CE38+CF38+CG38+CH38+CI38+CJ38+CK38+CL38</f>
        <v>2225.7000000000003</v>
      </c>
      <c r="CN38" s="46">
        <v>2686</v>
      </c>
      <c r="CO38" s="46">
        <f>CN38-K38</f>
        <v>1611</v>
      </c>
      <c r="CP38" s="43"/>
      <c r="CQ38" s="15"/>
      <c r="CR38" s="15"/>
      <c r="CS38" s="43"/>
      <c r="CT38" s="43"/>
      <c r="CV38" s="55" t="str">
        <f>IF(CW38&gt;0,G38,"0")</f>
        <v>0</v>
      </c>
      <c r="CW38" s="54">
        <f>AS38</f>
        <v>0</v>
      </c>
      <c r="CX38" s="55">
        <f>IF(CY38&gt;0,G38,"0")</f>
        <v>1</v>
      </c>
      <c r="CY38" s="54">
        <f>AT38</f>
        <v>4240</v>
      </c>
      <c r="CZ38" s="54">
        <f>CV38+CX38</f>
        <v>1</v>
      </c>
      <c r="DA38" s="54">
        <f>CW38+CY38</f>
        <v>4240</v>
      </c>
    </row>
    <row r="39" spans="1:105" ht="13.5" customHeight="1">
      <c r="A39" s="11" t="s">
        <v>127</v>
      </c>
      <c r="B39" s="40">
        <v>33</v>
      </c>
      <c r="C39" s="9" t="s">
        <v>116</v>
      </c>
      <c r="D39" s="10">
        <v>1981</v>
      </c>
      <c r="E39" s="8" t="s">
        <v>87</v>
      </c>
      <c r="F39" s="8" t="s">
        <v>30</v>
      </c>
      <c r="G39" s="13">
        <v>1</v>
      </c>
      <c r="H39" s="8">
        <v>9</v>
      </c>
      <c r="I39" s="8" t="s">
        <v>145</v>
      </c>
      <c r="J39" s="43">
        <v>19902</v>
      </c>
      <c r="K39" s="43">
        <v>766</v>
      </c>
      <c r="L39" s="217" t="s">
        <v>241</v>
      </c>
      <c r="M39" s="43"/>
      <c r="N39" s="43">
        <v>723</v>
      </c>
      <c r="O39" s="43">
        <v>70</v>
      </c>
      <c r="P39" s="43">
        <v>197</v>
      </c>
      <c r="Q39" s="43">
        <v>70</v>
      </c>
      <c r="R39" s="43">
        <v>179</v>
      </c>
      <c r="S39" s="36">
        <v>4520.5</v>
      </c>
      <c r="T39" s="36">
        <v>2865.8</v>
      </c>
      <c r="U39" s="43">
        <v>58</v>
      </c>
      <c r="V39" s="38">
        <v>3734.4</v>
      </c>
      <c r="W39" s="38">
        <v>2372.2</v>
      </c>
      <c r="X39" s="12">
        <f>O39-U39</f>
        <v>12</v>
      </c>
      <c r="Y39" s="37">
        <f>S39-V39</f>
        <v>786.0999999999999</v>
      </c>
      <c r="Z39" s="37">
        <f>T39-W39</f>
        <v>493.60000000000036</v>
      </c>
      <c r="AA39" s="97">
        <f>AB39+AE39</f>
        <v>0</v>
      </c>
      <c r="AB39" s="36">
        <f>AC39+AD39</f>
        <v>0</v>
      </c>
      <c r="AC39" s="39"/>
      <c r="AD39" s="36">
        <v>0</v>
      </c>
      <c r="AE39" s="39"/>
      <c r="AF39" s="96">
        <f>S39+AA39</f>
        <v>4520.5</v>
      </c>
      <c r="AG39" s="43"/>
      <c r="AH39" s="43">
        <v>2</v>
      </c>
      <c r="AI39" s="43">
        <v>2</v>
      </c>
      <c r="AJ39" s="43">
        <v>1</v>
      </c>
      <c r="AK39" s="43"/>
      <c r="AL39" s="43">
        <v>2</v>
      </c>
      <c r="AM39" s="43">
        <v>3930</v>
      </c>
      <c r="AN39" s="43"/>
      <c r="AO39" s="43">
        <v>391</v>
      </c>
      <c r="AP39" s="43">
        <v>157</v>
      </c>
      <c r="AQ39" s="43">
        <v>286</v>
      </c>
      <c r="AR39" s="43">
        <f>SUM(AS39+AT39)</f>
        <v>7246</v>
      </c>
      <c r="AS39" s="43"/>
      <c r="AT39" s="43">
        <v>7246</v>
      </c>
      <c r="AU39" s="43">
        <v>2140</v>
      </c>
      <c r="AV39" s="43">
        <v>165</v>
      </c>
      <c r="AW39" s="43">
        <v>723</v>
      </c>
      <c r="AX39" s="43">
        <v>723</v>
      </c>
      <c r="AY39" s="43">
        <v>34</v>
      </c>
      <c r="AZ39" s="43">
        <v>4</v>
      </c>
      <c r="BA39" s="43">
        <v>237</v>
      </c>
      <c r="BB39" s="43">
        <v>584</v>
      </c>
      <c r="BC39" s="43"/>
      <c r="BD39" s="43">
        <v>7600</v>
      </c>
      <c r="BE39" s="43">
        <v>3270</v>
      </c>
      <c r="BF39" s="43">
        <v>90</v>
      </c>
      <c r="BG39" s="43"/>
      <c r="BH39" s="43"/>
      <c r="BI39" s="43"/>
      <c r="BJ39" s="43">
        <f>G39</f>
        <v>1</v>
      </c>
      <c r="BK39" s="43">
        <f>S39</f>
        <v>4520.5</v>
      </c>
      <c r="BL39" s="43">
        <f>T39</f>
        <v>2865.8</v>
      </c>
      <c r="BM39" s="43"/>
      <c r="BN39" s="43"/>
      <c r="BO39" s="43"/>
      <c r="BP39" s="43"/>
      <c r="BQ39" s="43">
        <v>2</v>
      </c>
      <c r="BR39" s="43"/>
      <c r="BS39" s="43"/>
      <c r="BT39" s="43"/>
      <c r="BU39" s="43"/>
      <c r="BV39" s="12">
        <f>AI39*113.64</f>
        <v>227.28</v>
      </c>
      <c r="BW39" s="12">
        <f>AI39*55.25</f>
        <v>110.5</v>
      </c>
      <c r="BX39" s="12">
        <f>AI39*261.83</f>
        <v>523.66</v>
      </c>
      <c r="BY39" s="43">
        <v>2</v>
      </c>
      <c r="BZ39" s="43">
        <v>2</v>
      </c>
      <c r="CA39" s="43">
        <v>2</v>
      </c>
      <c r="CB39" s="43">
        <v>2</v>
      </c>
      <c r="CC39" s="43">
        <v>2</v>
      </c>
      <c r="CD39" s="114">
        <v>302.6</v>
      </c>
      <c r="CE39" s="114">
        <v>450.3</v>
      </c>
      <c r="CF39" s="114">
        <v>5.4</v>
      </c>
      <c r="CG39" s="114">
        <v>1.7</v>
      </c>
      <c r="CH39" s="114">
        <f>690+33</f>
        <v>723</v>
      </c>
      <c r="CI39" s="114"/>
      <c r="CJ39" s="114">
        <v>723</v>
      </c>
      <c r="CK39" s="99">
        <v>33.7</v>
      </c>
      <c r="CL39" s="115">
        <v>12.4</v>
      </c>
      <c r="CM39" s="58">
        <f>CD39+CE39+CF39+CG39+CH39+CI39+CJ39+CK39+CL39</f>
        <v>2252.1</v>
      </c>
      <c r="CN39" s="46">
        <v>2136</v>
      </c>
      <c r="CO39" s="46">
        <f>CN39-K39</f>
        <v>1370</v>
      </c>
      <c r="CP39" s="43"/>
      <c r="CQ39" s="15"/>
      <c r="CR39" s="15"/>
      <c r="CS39" s="43"/>
      <c r="CT39" s="43"/>
      <c r="CV39" s="55" t="str">
        <f>IF(CW39&gt;0,G39,"0")</f>
        <v>0</v>
      </c>
      <c r="CW39" s="54">
        <f>AS39</f>
        <v>0</v>
      </c>
      <c r="CX39" s="55">
        <f>IF(CY39&gt;0,G39,"0")</f>
        <v>1</v>
      </c>
      <c r="CY39" s="54">
        <f>AT39</f>
        <v>7246</v>
      </c>
      <c r="CZ39" s="54">
        <f>CV39+CX39</f>
        <v>1</v>
      </c>
      <c r="DA39" s="54">
        <f>CW39+CY39</f>
        <v>7246</v>
      </c>
    </row>
    <row r="40" spans="1:105" ht="12.75">
      <c r="A40" s="11" t="s">
        <v>127</v>
      </c>
      <c r="B40" s="40">
        <v>34</v>
      </c>
      <c r="C40" s="9" t="s">
        <v>166</v>
      </c>
      <c r="D40" s="10">
        <v>1983</v>
      </c>
      <c r="E40" s="8" t="s">
        <v>87</v>
      </c>
      <c r="F40" s="8" t="s">
        <v>30</v>
      </c>
      <c r="G40" s="13">
        <v>1</v>
      </c>
      <c r="H40" s="8">
        <v>9</v>
      </c>
      <c r="I40" s="8" t="s">
        <v>163</v>
      </c>
      <c r="J40" s="43">
        <f>18946+16017+18838</f>
        <v>53801</v>
      </c>
      <c r="K40" s="43">
        <f>562+744+732</f>
        <v>2038</v>
      </c>
      <c r="L40" s="217" t="s">
        <v>242</v>
      </c>
      <c r="M40" s="43"/>
      <c r="N40" s="43">
        <f>704+562+692</f>
        <v>1958</v>
      </c>
      <c r="O40" s="43">
        <v>194</v>
      </c>
      <c r="P40" s="43">
        <v>480</v>
      </c>
      <c r="Q40" s="43">
        <f>70+54+70</f>
        <v>194</v>
      </c>
      <c r="R40" s="43">
        <v>460</v>
      </c>
      <c r="S40" s="36">
        <v>11814.4</v>
      </c>
      <c r="T40" s="36">
        <v>7222</v>
      </c>
      <c r="U40" s="43">
        <v>161</v>
      </c>
      <c r="V40" s="38">
        <v>9735.6</v>
      </c>
      <c r="W40" s="38">
        <v>5943.7</v>
      </c>
      <c r="X40" s="12">
        <f>O40-U40</f>
        <v>33</v>
      </c>
      <c r="Y40" s="37">
        <f>S40-V40</f>
        <v>2078.7999999999993</v>
      </c>
      <c r="Z40" s="37">
        <f>T40-W40</f>
        <v>1278.3000000000002</v>
      </c>
      <c r="AA40" s="97">
        <f>AB40+AE40</f>
        <v>0</v>
      </c>
      <c r="AB40" s="36">
        <f>AC40+AD40</f>
        <v>0</v>
      </c>
      <c r="AC40" s="39"/>
      <c r="AD40" s="36">
        <v>0</v>
      </c>
      <c r="AE40" s="39"/>
      <c r="AF40" s="96">
        <f>S40+AA40</f>
        <v>11814.4</v>
      </c>
      <c r="AG40" s="43"/>
      <c r="AH40" s="43">
        <v>5</v>
      </c>
      <c r="AI40" s="43">
        <v>5</v>
      </c>
      <c r="AJ40" s="43">
        <v>5</v>
      </c>
      <c r="AK40" s="43"/>
      <c r="AL40" s="43">
        <v>5</v>
      </c>
      <c r="AM40" s="43">
        <f>3500+2130+3500</f>
        <v>9130</v>
      </c>
      <c r="AN40" s="43">
        <v>1166</v>
      </c>
      <c r="AO40" s="43">
        <v>690</v>
      </c>
      <c r="AP40" s="43">
        <f>174+107+209</f>
        <v>490</v>
      </c>
      <c r="AQ40" s="43">
        <f>286+143+286</f>
        <v>715</v>
      </c>
      <c r="AR40" s="43">
        <f>SUM(AS40+AT40)</f>
        <v>19928</v>
      </c>
      <c r="AS40" s="43"/>
      <c r="AT40" s="43">
        <f>7246+5436+7246</f>
        <v>19928</v>
      </c>
      <c r="AU40" s="43">
        <f>1900+1900</f>
        <v>3800</v>
      </c>
      <c r="AV40" s="43">
        <f>164+143+163</f>
        <v>470</v>
      </c>
      <c r="AW40" s="43">
        <f>699+562+692</f>
        <v>1953</v>
      </c>
      <c r="AX40" s="43">
        <f>699+562+692</f>
        <v>1953</v>
      </c>
      <c r="AY40" s="43">
        <f>34+17+34</f>
        <v>85</v>
      </c>
      <c r="AZ40" s="43">
        <f>4+2+4</f>
        <v>10</v>
      </c>
      <c r="BA40" s="43">
        <f>188+160+257</f>
        <v>605</v>
      </c>
      <c r="BB40" s="43">
        <f>608+484+677</f>
        <v>1769</v>
      </c>
      <c r="BC40" s="43"/>
      <c r="BD40" s="43">
        <f>7600+3800+7600</f>
        <v>19000</v>
      </c>
      <c r="BE40" s="43">
        <f>3270+1635+3270</f>
        <v>8175</v>
      </c>
      <c r="BF40" s="43">
        <f>90+45+90</f>
        <v>225</v>
      </c>
      <c r="BG40" s="43"/>
      <c r="BH40" s="43"/>
      <c r="BI40" s="43"/>
      <c r="BJ40" s="43"/>
      <c r="BK40" s="43"/>
      <c r="BL40" s="43"/>
      <c r="BM40" s="43">
        <f>G40</f>
        <v>1</v>
      </c>
      <c r="BN40" s="43">
        <f>S40</f>
        <v>11814.4</v>
      </c>
      <c r="BO40" s="43">
        <f>T40</f>
        <v>7222</v>
      </c>
      <c r="BP40" s="43"/>
      <c r="BQ40" s="43">
        <v>4</v>
      </c>
      <c r="BR40" s="43"/>
      <c r="BS40" s="43"/>
      <c r="BT40" s="43"/>
      <c r="BU40" s="43">
        <v>2130</v>
      </c>
      <c r="BV40" s="12">
        <f>AI40*113.64</f>
        <v>568.2</v>
      </c>
      <c r="BW40" s="12">
        <f>AI40*55.25</f>
        <v>276.25</v>
      </c>
      <c r="BX40" s="12">
        <f>AI40*261.83</f>
        <v>1309.1499999999999</v>
      </c>
      <c r="BY40" s="43">
        <v>4</v>
      </c>
      <c r="BZ40" s="43"/>
      <c r="CA40" s="43"/>
      <c r="CB40" s="43"/>
      <c r="CC40" s="43"/>
      <c r="CD40" s="114">
        <v>884.6</v>
      </c>
      <c r="CE40" s="114">
        <v>1156.7</v>
      </c>
      <c r="CF40" s="114">
        <v>14.8</v>
      </c>
      <c r="CG40" s="114">
        <v>25.500000000000004</v>
      </c>
      <c r="CH40" s="114">
        <f>1741.3+83.7</f>
        <v>1825</v>
      </c>
      <c r="CI40" s="114"/>
      <c r="CJ40" s="114">
        <v>1953</v>
      </c>
      <c r="CK40" s="99">
        <v>84.4</v>
      </c>
      <c r="CL40" s="115">
        <v>29.5</v>
      </c>
      <c r="CM40" s="58">
        <f>CD40+CE40+CF40+CG40+CH40+CI40+CJ40+CK40+CL40</f>
        <v>5973.5</v>
      </c>
      <c r="CN40" s="46">
        <v>4221</v>
      </c>
      <c r="CO40" s="46">
        <f>CN40-K40</f>
        <v>2183</v>
      </c>
      <c r="CP40" s="43"/>
      <c r="CQ40" s="15"/>
      <c r="CR40" s="15"/>
      <c r="CS40" s="43"/>
      <c r="CT40" s="43"/>
      <c r="CV40" s="55" t="str">
        <f>IF(CW40&gt;0,G40,"0")</f>
        <v>0</v>
      </c>
      <c r="CW40" s="54">
        <f>AS40</f>
        <v>0</v>
      </c>
      <c r="CX40" s="55">
        <f>IF(CY40&gt;0,G40,"0")</f>
        <v>1</v>
      </c>
      <c r="CY40" s="54">
        <f>AT40</f>
        <v>19928</v>
      </c>
      <c r="CZ40" s="54">
        <f>CV40+CX40</f>
        <v>1</v>
      </c>
      <c r="DA40" s="54">
        <f>CW40+CY40</f>
        <v>19928</v>
      </c>
    </row>
    <row r="41" spans="1:105" ht="12.75">
      <c r="A41" s="11" t="s">
        <v>127</v>
      </c>
      <c r="B41" s="40">
        <v>35</v>
      </c>
      <c r="C41" s="9" t="s">
        <v>168</v>
      </c>
      <c r="D41" s="10">
        <v>1987</v>
      </c>
      <c r="E41" s="8" t="s">
        <v>87</v>
      </c>
      <c r="F41" s="8" t="s">
        <v>158</v>
      </c>
      <c r="G41" s="13">
        <v>1</v>
      </c>
      <c r="H41" s="8">
        <v>12</v>
      </c>
      <c r="I41" s="8" t="s">
        <v>146</v>
      </c>
      <c r="J41" s="43">
        <f>26834+27061</f>
        <v>53895</v>
      </c>
      <c r="K41" s="43">
        <f>1358+1477</f>
        <v>2835</v>
      </c>
      <c r="L41" s="217" t="s">
        <v>243</v>
      </c>
      <c r="M41" s="43"/>
      <c r="N41" s="43">
        <f>1269+1361</f>
        <v>2630</v>
      </c>
      <c r="O41" s="43">
        <v>132</v>
      </c>
      <c r="P41" s="43">
        <v>220</v>
      </c>
      <c r="Q41" s="43">
        <f>66+66</f>
        <v>132</v>
      </c>
      <c r="R41" s="43">
        <v>216</v>
      </c>
      <c r="S41" s="36">
        <v>6466.5</v>
      </c>
      <c r="T41" s="36">
        <v>3480.2</v>
      </c>
      <c r="U41" s="43">
        <v>121</v>
      </c>
      <c r="V41" s="38">
        <v>5935.4</v>
      </c>
      <c r="W41" s="38">
        <v>3194.1</v>
      </c>
      <c r="X41" s="12">
        <f>O41-U41</f>
        <v>11</v>
      </c>
      <c r="Y41" s="37">
        <f>S41-V41</f>
        <v>531.1000000000004</v>
      </c>
      <c r="Z41" s="37">
        <f>T41-W41</f>
        <v>286.0999999999999</v>
      </c>
      <c r="AA41" s="97">
        <f>AB41+AE41</f>
        <v>1377.5</v>
      </c>
      <c r="AB41" s="36">
        <f>AC41+AD41</f>
        <v>1377.5</v>
      </c>
      <c r="AC41" s="39"/>
      <c r="AD41" s="36">
        <v>1377.5</v>
      </c>
      <c r="AE41" s="39"/>
      <c r="AF41" s="96">
        <f>S41+AA41</f>
        <v>7844</v>
      </c>
      <c r="AG41" s="43"/>
      <c r="AH41" s="43">
        <f>2+2</f>
        <v>4</v>
      </c>
      <c r="AI41" s="43">
        <f>1+1</f>
        <v>2</v>
      </c>
      <c r="AJ41" s="43">
        <f>1+1</f>
        <v>2</v>
      </c>
      <c r="AK41" s="43"/>
      <c r="AL41" s="43">
        <f>1+1</f>
        <v>2</v>
      </c>
      <c r="AM41" s="43">
        <f>5600+5600</f>
        <v>11200</v>
      </c>
      <c r="AN41" s="43"/>
      <c r="AO41" s="43">
        <f>1120</f>
        <v>1120</v>
      </c>
      <c r="AP41" s="43">
        <f>256+256</f>
        <v>512</v>
      </c>
      <c r="AQ41" s="43">
        <f>156+156</f>
        <v>312</v>
      </c>
      <c r="AR41" s="43">
        <f>SUM(AS41+AT41)</f>
        <v>17584</v>
      </c>
      <c r="AS41" s="43"/>
      <c r="AT41" s="43">
        <f>8792+8792</f>
        <v>17584</v>
      </c>
      <c r="AU41" s="43"/>
      <c r="AV41" s="43">
        <f>154+153</f>
        <v>307</v>
      </c>
      <c r="AW41" s="43">
        <f>1225+1223</f>
        <v>2448</v>
      </c>
      <c r="AX41" s="43">
        <f>1225+1223</f>
        <v>2448</v>
      </c>
      <c r="AY41" s="43"/>
      <c r="AZ41" s="43">
        <f>2+2</f>
        <v>4</v>
      </c>
      <c r="BA41" s="43">
        <f>176+176</f>
        <v>352</v>
      </c>
      <c r="BB41" s="43">
        <f>572+574</f>
        <v>1146</v>
      </c>
      <c r="BC41" s="43"/>
      <c r="BD41" s="43">
        <f>7600+7600</f>
        <v>15200</v>
      </c>
      <c r="BE41" s="43">
        <f>3270+3270</f>
        <v>6540</v>
      </c>
      <c r="BF41" s="43">
        <f>120+120</f>
        <v>240</v>
      </c>
      <c r="BG41" s="43">
        <f>G41</f>
        <v>1</v>
      </c>
      <c r="BH41" s="43">
        <f>S41</f>
        <v>6466.5</v>
      </c>
      <c r="BI41" s="43">
        <f>T41</f>
        <v>3480.2</v>
      </c>
      <c r="BJ41" s="43"/>
      <c r="BK41" s="43"/>
      <c r="BL41" s="43"/>
      <c r="BM41" s="43"/>
      <c r="BN41" s="43"/>
      <c r="BO41" s="43"/>
      <c r="BP41" s="43"/>
      <c r="BQ41" s="43">
        <v>3</v>
      </c>
      <c r="BR41" s="43">
        <f>AX41</f>
        <v>2448</v>
      </c>
      <c r="BS41" s="43">
        <v>10480</v>
      </c>
      <c r="BT41" s="43"/>
      <c r="BU41" s="43">
        <f>AM41</f>
        <v>11200</v>
      </c>
      <c r="BV41" s="12">
        <f>AI41*142.95</f>
        <v>285.9</v>
      </c>
      <c r="BW41" s="12">
        <f>AI41*95.85</f>
        <v>191.7</v>
      </c>
      <c r="BX41" s="12">
        <f>AI41*984.5</f>
        <v>1969</v>
      </c>
      <c r="BY41" s="43">
        <v>4</v>
      </c>
      <c r="BZ41" s="43"/>
      <c r="CA41" s="43"/>
      <c r="CB41" s="43"/>
      <c r="CC41" s="43"/>
      <c r="CD41" s="114">
        <v>424.1</v>
      </c>
      <c r="CE41" s="114">
        <v>1654.9</v>
      </c>
      <c r="CF41" s="114">
        <v>10.8</v>
      </c>
      <c r="CG41" s="114">
        <v>71.3</v>
      </c>
      <c r="CH41" s="114">
        <f>715.8+91.9</f>
        <v>807.6999999999999</v>
      </c>
      <c r="CI41" s="114"/>
      <c r="CJ41" s="114">
        <v>2448</v>
      </c>
      <c r="CK41" s="99">
        <v>161.39999999999998</v>
      </c>
      <c r="CL41" s="115">
        <v>26.299999999999997</v>
      </c>
      <c r="CM41" s="58">
        <f>CD41+CE41+CF41+CG41+CH41+CI41+CJ41+CK41+CL41</f>
        <v>5604.5</v>
      </c>
      <c r="CN41" s="46">
        <v>6817</v>
      </c>
      <c r="CO41" s="46">
        <f>CN41-K41</f>
        <v>3982</v>
      </c>
      <c r="CP41" s="43"/>
      <c r="CQ41" s="15"/>
      <c r="CR41" s="15"/>
      <c r="CS41" s="43"/>
      <c r="CT41" s="43"/>
      <c r="CV41" s="55" t="str">
        <f>IF(CW41&gt;0,G41,"0")</f>
        <v>0</v>
      </c>
      <c r="CW41" s="54">
        <f>AS41</f>
        <v>0</v>
      </c>
      <c r="CX41" s="55">
        <f>IF(CY41&gt;0,G41,"0")</f>
        <v>1</v>
      </c>
      <c r="CY41" s="54">
        <f>AT41</f>
        <v>17584</v>
      </c>
      <c r="CZ41" s="54">
        <f>CV41+CX41</f>
        <v>1</v>
      </c>
      <c r="DA41" s="54">
        <f>CW41+CY41</f>
        <v>17584</v>
      </c>
    </row>
    <row r="42" spans="1:105" ht="12.75">
      <c r="A42" s="11" t="s">
        <v>127</v>
      </c>
      <c r="B42" s="40">
        <v>36</v>
      </c>
      <c r="C42" s="9" t="s">
        <v>124</v>
      </c>
      <c r="D42" s="10">
        <v>1956</v>
      </c>
      <c r="E42" s="8" t="s">
        <v>87</v>
      </c>
      <c r="F42" s="8" t="s">
        <v>31</v>
      </c>
      <c r="G42" s="13">
        <v>1</v>
      </c>
      <c r="H42" s="8">
        <v>4</v>
      </c>
      <c r="I42" s="8" t="s">
        <v>146</v>
      </c>
      <c r="J42" s="43">
        <v>22481</v>
      </c>
      <c r="K42" s="43">
        <v>1728</v>
      </c>
      <c r="L42" s="217" t="s">
        <v>244</v>
      </c>
      <c r="M42" s="43">
        <v>2038</v>
      </c>
      <c r="N42" s="43"/>
      <c r="O42" s="43">
        <v>50</v>
      </c>
      <c r="P42" s="43">
        <v>135</v>
      </c>
      <c r="Q42" s="43">
        <v>49</v>
      </c>
      <c r="R42" s="43">
        <v>103</v>
      </c>
      <c r="S42" s="36">
        <v>3787.4</v>
      </c>
      <c r="T42" s="105">
        <v>2279.1</v>
      </c>
      <c r="U42" s="43">
        <v>43</v>
      </c>
      <c r="V42" s="38">
        <v>3264.8</v>
      </c>
      <c r="W42" s="38">
        <v>1954.3</v>
      </c>
      <c r="X42" s="12">
        <f>O42-U42</f>
        <v>7</v>
      </c>
      <c r="Y42" s="37">
        <f>S42-V42</f>
        <v>522.5999999999999</v>
      </c>
      <c r="Z42" s="37">
        <f>T42-W42</f>
        <v>324.79999999999995</v>
      </c>
      <c r="AA42" s="97">
        <f>AB42+AE42</f>
        <v>1048.9</v>
      </c>
      <c r="AB42" s="36">
        <f>AC42+AD42</f>
        <v>313.60000000000014</v>
      </c>
      <c r="AC42" s="39"/>
      <c r="AD42" s="36">
        <v>313.60000000000014</v>
      </c>
      <c r="AE42" s="39">
        <v>735.3</v>
      </c>
      <c r="AF42" s="96">
        <f>S42+AA42</f>
        <v>4836.3</v>
      </c>
      <c r="AG42" s="43"/>
      <c r="AH42" s="43"/>
      <c r="AI42" s="43">
        <v>4</v>
      </c>
      <c r="AJ42" s="43"/>
      <c r="AK42" s="43"/>
      <c r="AL42" s="43">
        <v>1</v>
      </c>
      <c r="AM42" s="43">
        <v>3999</v>
      </c>
      <c r="AN42" s="43">
        <v>585</v>
      </c>
      <c r="AO42" s="43">
        <v>695</v>
      </c>
      <c r="AP42" s="43">
        <v>254</v>
      </c>
      <c r="AQ42" s="43">
        <v>120</v>
      </c>
      <c r="AR42" s="43">
        <f>SUM(AS42+AT42)</f>
        <v>3380</v>
      </c>
      <c r="AS42" s="43"/>
      <c r="AT42" s="43">
        <v>3380</v>
      </c>
      <c r="AU42" s="43"/>
      <c r="AV42" s="43">
        <v>103</v>
      </c>
      <c r="AW42" s="43">
        <v>1703</v>
      </c>
      <c r="AX42" s="43">
        <v>1703</v>
      </c>
      <c r="AY42" s="43">
        <v>16</v>
      </c>
      <c r="AZ42" s="43">
        <v>12</v>
      </c>
      <c r="BA42" s="43">
        <v>210</v>
      </c>
      <c r="BB42" s="43">
        <v>507</v>
      </c>
      <c r="BC42" s="43"/>
      <c r="BD42" s="43">
        <v>4057</v>
      </c>
      <c r="BE42" s="43">
        <v>120</v>
      </c>
      <c r="BF42" s="43"/>
      <c r="BG42" s="43">
        <f>G42</f>
        <v>1</v>
      </c>
      <c r="BH42" s="43">
        <f>S42</f>
        <v>3787.4</v>
      </c>
      <c r="BI42" s="43">
        <f>T42</f>
        <v>2279.1</v>
      </c>
      <c r="BJ42" s="43"/>
      <c r="BK42" s="43"/>
      <c r="BL42" s="43"/>
      <c r="BM42" s="43"/>
      <c r="BN42" s="43"/>
      <c r="BO42" s="43"/>
      <c r="BP42" s="43"/>
      <c r="BQ42" s="43">
        <v>2</v>
      </c>
      <c r="BR42" s="43">
        <f>AX42</f>
        <v>1703</v>
      </c>
      <c r="BS42" s="43">
        <v>4270</v>
      </c>
      <c r="BT42" s="43"/>
      <c r="BU42" s="43">
        <f>AM42</f>
        <v>3999</v>
      </c>
      <c r="BV42" s="12">
        <f>AI42*71.04</f>
        <v>284.16</v>
      </c>
      <c r="BW42" s="12">
        <f>AI42*37.13</f>
        <v>148.52</v>
      </c>
      <c r="BX42" s="12">
        <f>AI42*0</f>
        <v>0</v>
      </c>
      <c r="BY42" s="43">
        <v>2</v>
      </c>
      <c r="BZ42" s="43"/>
      <c r="CA42" s="43"/>
      <c r="CB42" s="43"/>
      <c r="CC42" s="43"/>
      <c r="CD42" s="114">
        <v>412.3</v>
      </c>
      <c r="CE42" s="114"/>
      <c r="CF42" s="114"/>
      <c r="CG42" s="114"/>
      <c r="CH42" s="114">
        <v>1703</v>
      </c>
      <c r="CI42" s="114"/>
      <c r="CJ42" s="114">
        <v>1703</v>
      </c>
      <c r="CK42" s="99">
        <v>38.4</v>
      </c>
      <c r="CL42" s="115"/>
      <c r="CM42" s="58">
        <f>CD42+CE42+CF42+CG42+CH42+CI42+CJ42+CK42+CL42</f>
        <v>3856.7000000000003</v>
      </c>
      <c r="CN42" s="46">
        <v>3344</v>
      </c>
      <c r="CO42" s="46">
        <f>CN42-K42</f>
        <v>1616</v>
      </c>
      <c r="CP42" s="43"/>
      <c r="CQ42" s="15"/>
      <c r="CR42" s="15"/>
      <c r="CS42" s="43"/>
      <c r="CT42" s="43"/>
      <c r="CV42" s="55" t="str">
        <f>IF(CW42&gt;0,G42,"0")</f>
        <v>0</v>
      </c>
      <c r="CW42" s="54">
        <f>AS42</f>
        <v>0</v>
      </c>
      <c r="CX42" s="55">
        <f>IF(CY42&gt;0,G42,"0")</f>
        <v>1</v>
      </c>
      <c r="CY42" s="54">
        <f>AT42</f>
        <v>3380</v>
      </c>
      <c r="CZ42" s="54">
        <f>CV42+CX42</f>
        <v>1</v>
      </c>
      <c r="DA42" s="54">
        <f>CW42+CY42</f>
        <v>3380</v>
      </c>
    </row>
    <row r="43" spans="1:105" ht="12.75">
      <c r="A43" s="11" t="s">
        <v>127</v>
      </c>
      <c r="B43" s="40">
        <v>37</v>
      </c>
      <c r="C43" s="9" t="s">
        <v>125</v>
      </c>
      <c r="D43" s="10">
        <v>1956</v>
      </c>
      <c r="E43" s="8" t="s">
        <v>87</v>
      </c>
      <c r="F43" s="8" t="s">
        <v>31</v>
      </c>
      <c r="G43" s="13">
        <v>1</v>
      </c>
      <c r="H43" s="8">
        <v>5</v>
      </c>
      <c r="I43" s="8" t="s">
        <v>146</v>
      </c>
      <c r="J43" s="43">
        <v>12249</v>
      </c>
      <c r="K43" s="43">
        <v>740</v>
      </c>
      <c r="L43" s="217" t="s">
        <v>245</v>
      </c>
      <c r="M43" s="43">
        <v>1872</v>
      </c>
      <c r="N43" s="43"/>
      <c r="O43" s="43">
        <v>38</v>
      </c>
      <c r="P43" s="43">
        <v>94</v>
      </c>
      <c r="Q43" s="43">
        <v>52</v>
      </c>
      <c r="R43" s="43">
        <v>88</v>
      </c>
      <c r="S43" s="36">
        <v>2410.7</v>
      </c>
      <c r="T43" s="36">
        <v>1483.1</v>
      </c>
      <c r="U43" s="43">
        <v>31</v>
      </c>
      <c r="V43" s="38">
        <v>1969.5</v>
      </c>
      <c r="W43" s="38">
        <v>1219.7</v>
      </c>
      <c r="X43" s="12">
        <f>O43-U43</f>
        <v>7</v>
      </c>
      <c r="Y43" s="37">
        <f>S43-V43</f>
        <v>441.1999999999998</v>
      </c>
      <c r="Z43" s="37">
        <f>T43-W43</f>
        <v>263.39999999999986</v>
      </c>
      <c r="AA43" s="97">
        <f>AB43+AE43</f>
        <v>113</v>
      </c>
      <c r="AB43" s="36">
        <f>AC43+AD43</f>
        <v>0</v>
      </c>
      <c r="AC43" s="39"/>
      <c r="AD43" s="36">
        <v>0</v>
      </c>
      <c r="AE43" s="39">
        <v>113</v>
      </c>
      <c r="AF43" s="96">
        <f>S43+AA43</f>
        <v>2523.7</v>
      </c>
      <c r="AG43" s="43"/>
      <c r="AH43" s="43"/>
      <c r="AI43" s="43">
        <v>2</v>
      </c>
      <c r="AJ43" s="43"/>
      <c r="AK43" s="43"/>
      <c r="AL43" s="43">
        <v>1</v>
      </c>
      <c r="AM43" s="43">
        <v>2180</v>
      </c>
      <c r="AN43" s="43">
        <v>585</v>
      </c>
      <c r="AO43" s="43">
        <v>145</v>
      </c>
      <c r="AP43" s="43">
        <v>320</v>
      </c>
      <c r="AQ43" s="43">
        <v>60</v>
      </c>
      <c r="AR43" s="43">
        <f>SUM(AS43+AT43)</f>
        <v>1986</v>
      </c>
      <c r="AS43" s="43"/>
      <c r="AT43" s="43">
        <v>1986</v>
      </c>
      <c r="AU43" s="43"/>
      <c r="AV43" s="43">
        <v>50</v>
      </c>
      <c r="AW43" s="43">
        <v>738</v>
      </c>
      <c r="AX43" s="43">
        <v>738</v>
      </c>
      <c r="AY43" s="43">
        <v>10</v>
      </c>
      <c r="AZ43" s="43">
        <v>4</v>
      </c>
      <c r="BA43" s="43">
        <v>103</v>
      </c>
      <c r="BB43" s="43">
        <v>379</v>
      </c>
      <c r="BC43" s="43"/>
      <c r="BD43" s="43">
        <v>2862</v>
      </c>
      <c r="BE43" s="43">
        <v>76</v>
      </c>
      <c r="BF43" s="43"/>
      <c r="BG43" s="43">
        <f>G43</f>
        <v>1</v>
      </c>
      <c r="BH43" s="43">
        <f>S43</f>
        <v>2410.7</v>
      </c>
      <c r="BI43" s="43">
        <f>T43</f>
        <v>1483.1</v>
      </c>
      <c r="BJ43" s="43"/>
      <c r="BK43" s="43"/>
      <c r="BL43" s="43"/>
      <c r="BM43" s="43"/>
      <c r="BN43" s="43"/>
      <c r="BO43" s="43"/>
      <c r="BP43" s="43"/>
      <c r="BQ43" s="43">
        <v>1</v>
      </c>
      <c r="BR43" s="43">
        <f>AX43</f>
        <v>738</v>
      </c>
      <c r="BS43" s="43">
        <v>2610</v>
      </c>
      <c r="BT43" s="43"/>
      <c r="BU43" s="43">
        <f>AM43</f>
        <v>2180</v>
      </c>
      <c r="BV43" s="12">
        <f>AI43*71.04</f>
        <v>142.08</v>
      </c>
      <c r="BW43" s="12">
        <f>AI43*37.13</f>
        <v>74.26</v>
      </c>
      <c r="BX43" s="12">
        <f>AI43*0</f>
        <v>0</v>
      </c>
      <c r="BY43" s="43">
        <v>1</v>
      </c>
      <c r="BZ43" s="43"/>
      <c r="CA43" s="43"/>
      <c r="CB43" s="43"/>
      <c r="CC43" s="43"/>
      <c r="CD43" s="114">
        <v>226.4</v>
      </c>
      <c r="CE43" s="114"/>
      <c r="CF43" s="114"/>
      <c r="CG43" s="114"/>
      <c r="CH43" s="114">
        <v>738</v>
      </c>
      <c r="CI43" s="114"/>
      <c r="CJ43" s="114">
        <v>738</v>
      </c>
      <c r="CK43" s="99">
        <v>13.8</v>
      </c>
      <c r="CL43" s="115"/>
      <c r="CM43" s="58">
        <f>CD43+CE43+CF43+CG43+CH43+CI43+CJ43+CK43+CL43</f>
        <v>1716.2</v>
      </c>
      <c r="CN43" s="46">
        <v>2141</v>
      </c>
      <c r="CO43" s="46">
        <f>CN43-K43</f>
        <v>1401</v>
      </c>
      <c r="CP43" s="43"/>
      <c r="CQ43" s="15"/>
      <c r="CR43" s="15"/>
      <c r="CS43" s="43"/>
      <c r="CT43" s="43"/>
      <c r="CV43" s="55" t="str">
        <f>IF(CW43&gt;0,G43,"0")</f>
        <v>0</v>
      </c>
      <c r="CW43" s="54">
        <f>AS43</f>
        <v>0</v>
      </c>
      <c r="CX43" s="55">
        <f>IF(CY43&gt;0,G43,"0")</f>
        <v>1</v>
      </c>
      <c r="CY43" s="54">
        <f>AT43</f>
        <v>1986</v>
      </c>
      <c r="CZ43" s="54">
        <f>CV43+CX43</f>
        <v>1</v>
      </c>
      <c r="DA43" s="54">
        <f>CW43+CY43</f>
        <v>1986</v>
      </c>
    </row>
    <row r="44" spans="1:105" ht="12.75">
      <c r="A44" s="11" t="s">
        <v>127</v>
      </c>
      <c r="B44" s="40">
        <v>38</v>
      </c>
      <c r="C44" s="9" t="s">
        <v>89</v>
      </c>
      <c r="D44" s="10">
        <v>1955</v>
      </c>
      <c r="E44" s="8" t="s">
        <v>87</v>
      </c>
      <c r="F44" s="8" t="s">
        <v>31</v>
      </c>
      <c r="G44" s="13">
        <v>1</v>
      </c>
      <c r="H44" s="8">
        <v>4</v>
      </c>
      <c r="I44" s="8" t="s">
        <v>146</v>
      </c>
      <c r="J44" s="43">
        <v>22319</v>
      </c>
      <c r="K44" s="43">
        <v>1743</v>
      </c>
      <c r="L44" s="217" t="s">
        <v>246</v>
      </c>
      <c r="M44" s="43">
        <v>2090</v>
      </c>
      <c r="N44" s="43"/>
      <c r="O44" s="43">
        <v>52</v>
      </c>
      <c r="P44" s="43">
        <v>145</v>
      </c>
      <c r="Q44" s="43">
        <v>52</v>
      </c>
      <c r="R44" s="43">
        <v>123</v>
      </c>
      <c r="S44" s="36">
        <v>4028.44</v>
      </c>
      <c r="T44" s="36">
        <v>2531.62</v>
      </c>
      <c r="U44" s="43">
        <v>42</v>
      </c>
      <c r="V44" s="38">
        <v>3257.73</v>
      </c>
      <c r="W44" s="38">
        <v>2049.14</v>
      </c>
      <c r="X44" s="12">
        <f>O44-U44</f>
        <v>10</v>
      </c>
      <c r="Y44" s="37">
        <f>S44-V44</f>
        <v>770.71</v>
      </c>
      <c r="Z44" s="37">
        <f>T44-W44</f>
        <v>482.48</v>
      </c>
      <c r="AA44" s="97">
        <f>AB44+AE44</f>
        <v>883</v>
      </c>
      <c r="AB44" s="36">
        <f>AC44+AD44</f>
        <v>883</v>
      </c>
      <c r="AC44" s="39"/>
      <c r="AD44" s="36">
        <v>883</v>
      </c>
      <c r="AE44" s="39"/>
      <c r="AF44" s="96">
        <f>S44+AA44</f>
        <v>4911.4400000000005</v>
      </c>
      <c r="AG44" s="43"/>
      <c r="AH44" s="43"/>
      <c r="AI44" s="43">
        <v>4</v>
      </c>
      <c r="AJ44" s="43"/>
      <c r="AK44" s="43"/>
      <c r="AL44" s="43">
        <v>1</v>
      </c>
      <c r="AM44" s="43">
        <v>3900</v>
      </c>
      <c r="AN44" s="43">
        <v>585</v>
      </c>
      <c r="AO44" s="43">
        <v>725</v>
      </c>
      <c r="AP44" s="43">
        <v>380</v>
      </c>
      <c r="AQ44" s="43">
        <v>120</v>
      </c>
      <c r="AR44" s="43">
        <f>SUM(AS44+AT44)</f>
        <v>3380</v>
      </c>
      <c r="AS44" s="43"/>
      <c r="AT44" s="43">
        <v>3380</v>
      </c>
      <c r="AU44" s="43"/>
      <c r="AV44" s="43">
        <v>107</v>
      </c>
      <c r="AW44" s="43">
        <v>1691</v>
      </c>
      <c r="AX44" s="43">
        <v>1691</v>
      </c>
      <c r="AY44" s="43">
        <v>20</v>
      </c>
      <c r="AZ44" s="43">
        <v>8</v>
      </c>
      <c r="BA44" s="43">
        <v>191</v>
      </c>
      <c r="BB44" s="43">
        <v>497</v>
      </c>
      <c r="BC44" s="43"/>
      <c r="BD44" s="43">
        <v>2616</v>
      </c>
      <c r="BE44" s="43">
        <v>76</v>
      </c>
      <c r="BF44" s="43"/>
      <c r="BG44" s="43">
        <f>G44</f>
        <v>1</v>
      </c>
      <c r="BH44" s="43">
        <f>S44</f>
        <v>4028.44</v>
      </c>
      <c r="BI44" s="43">
        <f>T44</f>
        <v>2531.62</v>
      </c>
      <c r="BJ44" s="43"/>
      <c r="BK44" s="43"/>
      <c r="BL44" s="43"/>
      <c r="BM44" s="43"/>
      <c r="BN44" s="43"/>
      <c r="BO44" s="43"/>
      <c r="BP44" s="43"/>
      <c r="BQ44" s="43">
        <v>6</v>
      </c>
      <c r="BR44" s="43">
        <f>AX44</f>
        <v>1691</v>
      </c>
      <c r="BS44" s="43">
        <v>4190</v>
      </c>
      <c r="BT44" s="43"/>
      <c r="BU44" s="43">
        <f>AM44</f>
        <v>3900</v>
      </c>
      <c r="BV44" s="12">
        <f>AI44*71.04</f>
        <v>284.16</v>
      </c>
      <c r="BW44" s="12">
        <f>AI44*37.13</f>
        <v>148.52</v>
      </c>
      <c r="BX44" s="12">
        <f>AI44*0</f>
        <v>0</v>
      </c>
      <c r="BY44" s="43">
        <v>2</v>
      </c>
      <c r="BZ44" s="43"/>
      <c r="CA44" s="43"/>
      <c r="CB44" s="43"/>
      <c r="CC44" s="43"/>
      <c r="CD44" s="114">
        <v>450.86</v>
      </c>
      <c r="CE44" s="114"/>
      <c r="CF44" s="114"/>
      <c r="CG44" s="114"/>
      <c r="CH44" s="114">
        <v>1691</v>
      </c>
      <c r="CI44" s="114"/>
      <c r="CJ44" s="114">
        <v>1691</v>
      </c>
      <c r="CK44" s="99">
        <v>13.8</v>
      </c>
      <c r="CL44" s="115"/>
      <c r="CM44" s="58">
        <f>CD44+CE44+CF44+CG44+CH44+CI44+CJ44+CK44+CL44</f>
        <v>3846.6600000000003</v>
      </c>
      <c r="CN44" s="46">
        <v>3565</v>
      </c>
      <c r="CO44" s="46">
        <f>CN44-K44</f>
        <v>1822</v>
      </c>
      <c r="CP44" s="43"/>
      <c r="CQ44" s="15"/>
      <c r="CR44" s="15"/>
      <c r="CS44" s="43"/>
      <c r="CT44" s="43"/>
      <c r="CV44" s="55" t="str">
        <f>IF(CW44&gt;0,G44,"0")</f>
        <v>0</v>
      </c>
      <c r="CW44" s="54">
        <f>AS44</f>
        <v>0</v>
      </c>
      <c r="CX44" s="55">
        <f>IF(CY44&gt;0,G44,"0")</f>
        <v>1</v>
      </c>
      <c r="CY44" s="54">
        <f>AT44</f>
        <v>3380</v>
      </c>
      <c r="CZ44" s="54">
        <f>CV44+CX44</f>
        <v>1</v>
      </c>
      <c r="DA44" s="54">
        <f>CW44+CY44</f>
        <v>3380</v>
      </c>
    </row>
    <row r="45" spans="1:113" s="52" customFormat="1" ht="12.75">
      <c r="A45" s="51" t="s">
        <v>128</v>
      </c>
      <c r="B45" s="40">
        <v>39</v>
      </c>
      <c r="C45" s="11" t="s">
        <v>94</v>
      </c>
      <c r="D45" s="116">
        <v>1978</v>
      </c>
      <c r="E45" s="117" t="s">
        <v>159</v>
      </c>
      <c r="F45" s="118" t="s">
        <v>156</v>
      </c>
      <c r="G45" s="119">
        <v>1</v>
      </c>
      <c r="H45" s="117">
        <v>9</v>
      </c>
      <c r="I45" s="117" t="s">
        <v>145</v>
      </c>
      <c r="J45" s="12">
        <v>28812</v>
      </c>
      <c r="K45" s="12">
        <v>1196</v>
      </c>
      <c r="L45" s="217" t="s">
        <v>247</v>
      </c>
      <c r="M45" s="12">
        <v>1425</v>
      </c>
      <c r="N45" s="12"/>
      <c r="O45" s="12">
        <v>317</v>
      </c>
      <c r="P45" s="12">
        <v>317</v>
      </c>
      <c r="Q45" s="12">
        <v>452</v>
      </c>
      <c r="R45" s="12">
        <v>444</v>
      </c>
      <c r="S45" s="120">
        <v>6098.55</v>
      </c>
      <c r="T45" s="120">
        <v>4389.54</v>
      </c>
      <c r="U45" s="12">
        <v>183</v>
      </c>
      <c r="V45" s="121">
        <v>3573.86</v>
      </c>
      <c r="W45" s="121">
        <v>2587.77</v>
      </c>
      <c r="X45" s="12">
        <f>O45-U45</f>
        <v>134</v>
      </c>
      <c r="Y45" s="37">
        <f>S45-V45</f>
        <v>2524.69</v>
      </c>
      <c r="Z45" s="37">
        <f>T45-W45</f>
        <v>1801.77</v>
      </c>
      <c r="AA45" s="97">
        <f>AB45+AE45</f>
        <v>252.19</v>
      </c>
      <c r="AB45" s="120">
        <f>AC45+AD45</f>
        <v>252.19</v>
      </c>
      <c r="AC45" s="37"/>
      <c r="AD45" s="120">
        <v>252.19</v>
      </c>
      <c r="AE45" s="37"/>
      <c r="AF45" s="96">
        <f>S45+AA45</f>
        <v>6350.74</v>
      </c>
      <c r="AG45" s="12"/>
      <c r="AH45" s="12">
        <v>2</v>
      </c>
      <c r="AI45" s="12">
        <v>2</v>
      </c>
      <c r="AJ45" s="12">
        <v>1</v>
      </c>
      <c r="AK45" s="12"/>
      <c r="AL45" s="12">
        <v>1</v>
      </c>
      <c r="AM45" s="12">
        <v>4526</v>
      </c>
      <c r="AN45" s="12"/>
      <c r="AO45" s="12">
        <v>180</v>
      </c>
      <c r="AP45" s="12">
        <v>256</v>
      </c>
      <c r="AQ45" s="12">
        <v>76</v>
      </c>
      <c r="AR45" s="12">
        <v>7841</v>
      </c>
      <c r="AS45" s="12"/>
      <c r="AT45" s="12">
        <v>7841</v>
      </c>
      <c r="AU45" s="12">
        <v>3264</v>
      </c>
      <c r="AV45" s="12">
        <v>228</v>
      </c>
      <c r="AW45" s="12">
        <v>1165</v>
      </c>
      <c r="AX45" s="12">
        <v>1165</v>
      </c>
      <c r="AY45" s="12">
        <v>34</v>
      </c>
      <c r="AZ45" s="12">
        <v>67</v>
      </c>
      <c r="BA45" s="12">
        <v>324</v>
      </c>
      <c r="BB45" s="12">
        <v>972</v>
      </c>
      <c r="BC45" s="12">
        <v>1</v>
      </c>
      <c r="BD45" s="12">
        <v>17000</v>
      </c>
      <c r="BE45" s="12">
        <v>710</v>
      </c>
      <c r="BF45" s="12">
        <v>200</v>
      </c>
      <c r="BG45" s="12"/>
      <c r="BH45" s="12"/>
      <c r="BI45" s="12"/>
      <c r="BJ45" s="43">
        <f>G45</f>
        <v>1</v>
      </c>
      <c r="BK45" s="43">
        <f>S45</f>
        <v>6098.55</v>
      </c>
      <c r="BL45" s="43">
        <f>T45</f>
        <v>4389.54</v>
      </c>
      <c r="BM45" s="43"/>
      <c r="BN45" s="43"/>
      <c r="BO45" s="43"/>
      <c r="BP45" s="12"/>
      <c r="BQ45" s="12"/>
      <c r="BR45" s="12"/>
      <c r="BS45" s="12"/>
      <c r="BT45" s="12"/>
      <c r="BU45" s="43"/>
      <c r="BV45" s="12">
        <f>AI45*85.85</f>
        <v>171.7</v>
      </c>
      <c r="BW45" s="12">
        <f>AI45*50.57</f>
        <v>101.14</v>
      </c>
      <c r="BX45" s="12">
        <f>AI45*1165.39</f>
        <v>2330.78</v>
      </c>
      <c r="BY45" s="12">
        <v>2</v>
      </c>
      <c r="BZ45" s="12"/>
      <c r="CA45" s="12"/>
      <c r="CB45" s="12"/>
      <c r="CC45" s="12"/>
      <c r="CD45" s="122">
        <v>250.08</v>
      </c>
      <c r="CE45" s="122">
        <v>1598.5500000000002</v>
      </c>
      <c r="CF45" s="122">
        <v>5.34</v>
      </c>
      <c r="CG45" s="122">
        <v>462.55</v>
      </c>
      <c r="CH45" s="122">
        <v>1137.93</v>
      </c>
      <c r="CI45" s="122"/>
      <c r="CJ45" s="122">
        <v>1165</v>
      </c>
      <c r="CK45" s="98">
        <v>37.1</v>
      </c>
      <c r="CL45" s="98">
        <v>106.28</v>
      </c>
      <c r="CM45" s="58">
        <f>CD45+CE45+CF45+CG45+CH45+CI45+CJ45+CK45+CL45</f>
        <v>4762.83</v>
      </c>
      <c r="CN45" s="46">
        <v>3090</v>
      </c>
      <c r="CO45" s="46">
        <f>CN45-K45</f>
        <v>1894</v>
      </c>
      <c r="CP45" s="12"/>
      <c r="CQ45" s="123"/>
      <c r="CR45" s="123"/>
      <c r="CS45" s="12"/>
      <c r="CT45" s="12"/>
      <c r="CU45" s="14"/>
      <c r="CV45" s="55" t="str">
        <f>IF(CW45&gt;0,G45,"0")</f>
        <v>0</v>
      </c>
      <c r="CW45" s="54">
        <f>AS45</f>
        <v>0</v>
      </c>
      <c r="CX45" s="55">
        <f>IF(CY45&gt;0,G45,"0")</f>
        <v>1</v>
      </c>
      <c r="CY45" s="54">
        <f>AT45</f>
        <v>7841</v>
      </c>
      <c r="CZ45" s="54">
        <f>CV45+CX45</f>
        <v>1</v>
      </c>
      <c r="DA45" s="54">
        <f>CW45+CY45</f>
        <v>7841</v>
      </c>
      <c r="DB45" s="14"/>
      <c r="DC45" s="14"/>
      <c r="DD45" s="14"/>
      <c r="DE45" s="14"/>
      <c r="DF45" s="14"/>
      <c r="DG45" s="14"/>
      <c r="DH45" s="14"/>
      <c r="DI45" s="14"/>
    </row>
    <row r="46" spans="1:113" s="53" customFormat="1" ht="12.75">
      <c r="A46" s="51" t="s">
        <v>128</v>
      </c>
      <c r="B46" s="40">
        <v>40</v>
      </c>
      <c r="C46" s="11" t="s">
        <v>95</v>
      </c>
      <c r="D46" s="116">
        <v>1975</v>
      </c>
      <c r="E46" s="117" t="s">
        <v>159</v>
      </c>
      <c r="F46" s="118" t="s">
        <v>156</v>
      </c>
      <c r="G46" s="119">
        <v>1</v>
      </c>
      <c r="H46" s="117">
        <v>9</v>
      </c>
      <c r="I46" s="117" t="s">
        <v>145</v>
      </c>
      <c r="J46" s="12">
        <v>28825</v>
      </c>
      <c r="K46" s="12">
        <v>1202</v>
      </c>
      <c r="L46" s="217" t="s">
        <v>248</v>
      </c>
      <c r="M46" s="12">
        <v>1396</v>
      </c>
      <c r="N46" s="12"/>
      <c r="O46" s="12">
        <v>343</v>
      </c>
      <c r="P46" s="12">
        <v>343</v>
      </c>
      <c r="Q46" s="12">
        <v>475</v>
      </c>
      <c r="R46" s="12">
        <v>463</v>
      </c>
      <c r="S46" s="120">
        <v>6487.1</v>
      </c>
      <c r="T46" s="120">
        <v>4683.4</v>
      </c>
      <c r="U46" s="12">
        <v>132</v>
      </c>
      <c r="V46" s="121">
        <v>2533.2</v>
      </c>
      <c r="W46" s="121">
        <v>1834.5</v>
      </c>
      <c r="X46" s="12">
        <f>O46-U46</f>
        <v>211</v>
      </c>
      <c r="Y46" s="37">
        <f>S46-V46</f>
        <v>3953.9000000000005</v>
      </c>
      <c r="Z46" s="37">
        <f>T46-W46</f>
        <v>2848.8999999999996</v>
      </c>
      <c r="AA46" s="97">
        <f>AB46+AE46</f>
        <v>113.78</v>
      </c>
      <c r="AB46" s="120">
        <f>AC46+AD46</f>
        <v>113.78</v>
      </c>
      <c r="AC46" s="37"/>
      <c r="AD46" s="120">
        <v>113.78</v>
      </c>
      <c r="AE46" s="37"/>
      <c r="AF46" s="96">
        <f>S46+AA46</f>
        <v>6600.88</v>
      </c>
      <c r="AG46" s="12"/>
      <c r="AH46" s="12">
        <v>2</v>
      </c>
      <c r="AI46" s="12">
        <v>2</v>
      </c>
      <c r="AJ46" s="12">
        <v>1</v>
      </c>
      <c r="AK46" s="12"/>
      <c r="AL46" s="12">
        <v>1</v>
      </c>
      <c r="AM46" s="12">
        <v>4526</v>
      </c>
      <c r="AN46" s="12"/>
      <c r="AO46" s="12">
        <v>390</v>
      </c>
      <c r="AP46" s="12">
        <v>274</v>
      </c>
      <c r="AQ46" s="12">
        <v>76</v>
      </c>
      <c r="AR46" s="12">
        <v>7263</v>
      </c>
      <c r="AS46" s="12"/>
      <c r="AT46" s="12">
        <v>7263</v>
      </c>
      <c r="AU46" s="12">
        <v>3265</v>
      </c>
      <c r="AV46" s="12">
        <v>228</v>
      </c>
      <c r="AW46" s="12">
        <v>1164</v>
      </c>
      <c r="AX46" s="12">
        <v>1164</v>
      </c>
      <c r="AY46" s="12">
        <v>34</v>
      </c>
      <c r="AZ46" s="12">
        <v>54</v>
      </c>
      <c r="BA46" s="12">
        <v>378</v>
      </c>
      <c r="BB46" s="12">
        <v>1097</v>
      </c>
      <c r="BC46" s="12">
        <v>1</v>
      </c>
      <c r="BD46" s="12">
        <v>17000</v>
      </c>
      <c r="BE46" s="12">
        <v>710</v>
      </c>
      <c r="BF46" s="12">
        <v>200</v>
      </c>
      <c r="BG46" s="12"/>
      <c r="BH46" s="12"/>
      <c r="BI46" s="12"/>
      <c r="BJ46" s="43">
        <f>G46</f>
        <v>1</v>
      </c>
      <c r="BK46" s="43">
        <f>S46</f>
        <v>6487.1</v>
      </c>
      <c r="BL46" s="43">
        <f>T46</f>
        <v>4683.4</v>
      </c>
      <c r="BM46" s="43"/>
      <c r="BN46" s="43"/>
      <c r="BO46" s="43"/>
      <c r="BP46" s="12"/>
      <c r="BQ46" s="12"/>
      <c r="BR46" s="12"/>
      <c r="BS46" s="12"/>
      <c r="BT46" s="12"/>
      <c r="BU46" s="43"/>
      <c r="BV46" s="12">
        <f>AI46*85.85</f>
        <v>171.7</v>
      </c>
      <c r="BW46" s="12">
        <f>AI46*50.57</f>
        <v>101.14</v>
      </c>
      <c r="BX46" s="12">
        <f>AI46*1165.39</f>
        <v>2330.78</v>
      </c>
      <c r="BY46" s="12">
        <v>2</v>
      </c>
      <c r="BZ46" s="12"/>
      <c r="CA46" s="12"/>
      <c r="CB46" s="12"/>
      <c r="CC46" s="12"/>
      <c r="CD46" s="122">
        <v>257</v>
      </c>
      <c r="CE46" s="122">
        <v>1559.42</v>
      </c>
      <c r="CF46" s="122">
        <v>6.4</v>
      </c>
      <c r="CG46" s="122">
        <v>144.8</v>
      </c>
      <c r="CH46" s="122">
        <v>1137.1</v>
      </c>
      <c r="CI46" s="122"/>
      <c r="CJ46" s="122">
        <v>1175</v>
      </c>
      <c r="CK46" s="98">
        <v>88.3</v>
      </c>
      <c r="CL46" s="98">
        <v>128.8</v>
      </c>
      <c r="CM46" s="58">
        <f>CD46+CE46+CF46+CG46+CH46+CI46+CJ46+CK46+CL46</f>
        <v>4496.820000000001</v>
      </c>
      <c r="CN46" s="46">
        <v>3170</v>
      </c>
      <c r="CO46" s="46">
        <f>CN46-K46</f>
        <v>1968</v>
      </c>
      <c r="CP46" s="12"/>
      <c r="CQ46" s="123"/>
      <c r="CR46" s="123"/>
      <c r="CS46" s="12"/>
      <c r="CT46" s="12"/>
      <c r="CU46" s="1"/>
      <c r="CV46" s="55" t="str">
        <f>IF(CW46&gt;0,G46,"0")</f>
        <v>0</v>
      </c>
      <c r="CW46" s="54">
        <f>AS46</f>
        <v>0</v>
      </c>
      <c r="CX46" s="55">
        <f>IF(CY46&gt;0,G46,"0")</f>
        <v>1</v>
      </c>
      <c r="CY46" s="54">
        <f>AT46</f>
        <v>7263</v>
      </c>
      <c r="CZ46" s="54">
        <f>CV46+CX46</f>
        <v>1</v>
      </c>
      <c r="DA46" s="54">
        <f>CW46+CY46</f>
        <v>7263</v>
      </c>
      <c r="DB46" s="1"/>
      <c r="DC46" s="1"/>
      <c r="DD46" s="1"/>
      <c r="DE46" s="1"/>
      <c r="DF46" s="1"/>
      <c r="DG46" s="1"/>
      <c r="DH46" s="1"/>
      <c r="DI46" s="1"/>
    </row>
    <row r="47" spans="1:113" s="53" customFormat="1" ht="12.75">
      <c r="A47" s="51" t="s">
        <v>128</v>
      </c>
      <c r="B47" s="40">
        <v>41</v>
      </c>
      <c r="C47" s="11" t="s">
        <v>90</v>
      </c>
      <c r="D47" s="116">
        <v>1977</v>
      </c>
      <c r="E47" s="117" t="s">
        <v>159</v>
      </c>
      <c r="F47" s="118" t="s">
        <v>156</v>
      </c>
      <c r="G47" s="119">
        <v>1</v>
      </c>
      <c r="H47" s="117">
        <v>9</v>
      </c>
      <c r="I47" s="117" t="s">
        <v>145</v>
      </c>
      <c r="J47" s="12">
        <v>28978</v>
      </c>
      <c r="K47" s="12">
        <v>1220</v>
      </c>
      <c r="L47" s="217" t="s">
        <v>249</v>
      </c>
      <c r="M47" s="12">
        <v>1419</v>
      </c>
      <c r="N47" s="12"/>
      <c r="O47" s="12">
        <v>347</v>
      </c>
      <c r="P47" s="12">
        <v>347</v>
      </c>
      <c r="Q47" s="12">
        <v>250</v>
      </c>
      <c r="R47" s="12">
        <v>462</v>
      </c>
      <c r="S47" s="120">
        <v>6624.87</v>
      </c>
      <c r="T47" s="120">
        <v>4797.72</v>
      </c>
      <c r="U47" s="12">
        <v>181</v>
      </c>
      <c r="V47" s="121">
        <v>3514.4</v>
      </c>
      <c r="W47" s="121">
        <v>2526.12</v>
      </c>
      <c r="X47" s="12">
        <f>O47-U47</f>
        <v>166</v>
      </c>
      <c r="Y47" s="37">
        <f>S47-V47</f>
        <v>3110.47</v>
      </c>
      <c r="Z47" s="37">
        <f>T47-W47</f>
        <v>2271.6000000000004</v>
      </c>
      <c r="AA47" s="97">
        <f>AB47+AE47</f>
        <v>33.03</v>
      </c>
      <c r="AB47" s="120">
        <f>AC47+AD47</f>
        <v>33.03</v>
      </c>
      <c r="AC47" s="37"/>
      <c r="AD47" s="120">
        <v>33.03</v>
      </c>
      <c r="AE47" s="37"/>
      <c r="AF47" s="96">
        <f>S47+AA47</f>
        <v>6657.9</v>
      </c>
      <c r="AG47" s="12"/>
      <c r="AH47" s="12">
        <v>2</v>
      </c>
      <c r="AI47" s="12">
        <v>2</v>
      </c>
      <c r="AJ47" s="12">
        <v>1</v>
      </c>
      <c r="AK47" s="12"/>
      <c r="AL47" s="12">
        <v>1</v>
      </c>
      <c r="AM47" s="12">
        <v>4533</v>
      </c>
      <c r="AN47" s="12"/>
      <c r="AO47" s="12">
        <v>270</v>
      </c>
      <c r="AP47" s="12">
        <v>275</v>
      </c>
      <c r="AQ47" s="12">
        <v>76</v>
      </c>
      <c r="AR47" s="12">
        <v>7443</v>
      </c>
      <c r="AS47" s="12"/>
      <c r="AT47" s="12">
        <v>7443</v>
      </c>
      <c r="AU47" s="12">
        <v>3268</v>
      </c>
      <c r="AV47" s="12">
        <v>228</v>
      </c>
      <c r="AW47" s="12">
        <v>1172</v>
      </c>
      <c r="AX47" s="12">
        <v>1172</v>
      </c>
      <c r="AY47" s="12">
        <v>34</v>
      </c>
      <c r="AZ47" s="12">
        <v>66</v>
      </c>
      <c r="BA47" s="12">
        <v>351</v>
      </c>
      <c r="BB47" s="12">
        <v>1053</v>
      </c>
      <c r="BC47" s="12">
        <v>1</v>
      </c>
      <c r="BD47" s="12">
        <v>17000</v>
      </c>
      <c r="BE47" s="12">
        <v>710</v>
      </c>
      <c r="BF47" s="12">
        <v>200</v>
      </c>
      <c r="BG47" s="12"/>
      <c r="BH47" s="12"/>
      <c r="BI47" s="12"/>
      <c r="BJ47" s="43">
        <f>G47</f>
        <v>1</v>
      </c>
      <c r="BK47" s="43">
        <f>S47</f>
        <v>6624.87</v>
      </c>
      <c r="BL47" s="43">
        <f>T47</f>
        <v>4797.72</v>
      </c>
      <c r="BM47" s="43"/>
      <c r="BN47" s="43"/>
      <c r="BO47" s="43"/>
      <c r="BP47" s="12"/>
      <c r="BQ47" s="12"/>
      <c r="BR47" s="12"/>
      <c r="BS47" s="12"/>
      <c r="BT47" s="12"/>
      <c r="BU47" s="43"/>
      <c r="BV47" s="12">
        <f>AI47*85.85</f>
        <v>171.7</v>
      </c>
      <c r="BW47" s="12">
        <f>AI47*50.57</f>
        <v>101.14</v>
      </c>
      <c r="BX47" s="12">
        <f>AI47*1165.39</f>
        <v>2330.78</v>
      </c>
      <c r="BY47" s="12">
        <v>2</v>
      </c>
      <c r="BZ47" s="12"/>
      <c r="CA47" s="12"/>
      <c r="CB47" s="12"/>
      <c r="CC47" s="12"/>
      <c r="CD47" s="122">
        <v>250.21</v>
      </c>
      <c r="CE47" s="122">
        <v>1614.7</v>
      </c>
      <c r="CF47" s="122">
        <v>5.1</v>
      </c>
      <c r="CG47" s="122">
        <v>190.93</v>
      </c>
      <c r="CH47" s="122">
        <v>1138.04</v>
      </c>
      <c r="CI47" s="122"/>
      <c r="CJ47" s="122">
        <v>1172</v>
      </c>
      <c r="CK47" s="98">
        <v>29.8</v>
      </c>
      <c r="CL47" s="98">
        <v>91.96</v>
      </c>
      <c r="CM47" s="58">
        <f>CD47+CE47+CF47+CG47+CH47+CI47+CJ47+CK47+CL47</f>
        <v>4492.74</v>
      </c>
      <c r="CN47" s="46">
        <v>2860</v>
      </c>
      <c r="CO47" s="46">
        <f>CN47-K47</f>
        <v>1640</v>
      </c>
      <c r="CP47" s="12"/>
      <c r="CQ47" s="123"/>
      <c r="CR47" s="123"/>
      <c r="CS47" s="12"/>
      <c r="CT47" s="12"/>
      <c r="CU47" s="1"/>
      <c r="CV47" s="55" t="str">
        <f>IF(CW47&gt;0,G47,"0")</f>
        <v>0</v>
      </c>
      <c r="CW47" s="54">
        <f>AS47</f>
        <v>0</v>
      </c>
      <c r="CX47" s="55">
        <f>IF(CY47&gt;0,G47,"0")</f>
        <v>1</v>
      </c>
      <c r="CY47" s="54">
        <f>AT47</f>
        <v>7443</v>
      </c>
      <c r="CZ47" s="54">
        <f>CV47+CX47</f>
        <v>1</v>
      </c>
      <c r="DA47" s="54">
        <f>CW47+CY47</f>
        <v>7443</v>
      </c>
      <c r="DB47" s="1"/>
      <c r="DC47" s="1"/>
      <c r="DD47" s="1"/>
      <c r="DE47" s="1"/>
      <c r="DF47" s="1"/>
      <c r="DG47" s="1"/>
      <c r="DH47" s="1"/>
      <c r="DI47" s="1"/>
    </row>
    <row r="48" spans="1:113" s="53" customFormat="1" ht="12.75">
      <c r="A48" s="51" t="s">
        <v>128</v>
      </c>
      <c r="B48" s="40">
        <v>42</v>
      </c>
      <c r="C48" s="11" t="s">
        <v>91</v>
      </c>
      <c r="D48" s="116">
        <v>1976</v>
      </c>
      <c r="E48" s="117" t="s">
        <v>159</v>
      </c>
      <c r="F48" s="118" t="s">
        <v>156</v>
      </c>
      <c r="G48" s="119">
        <v>1</v>
      </c>
      <c r="H48" s="117">
        <v>9</v>
      </c>
      <c r="I48" s="117" t="s">
        <v>145</v>
      </c>
      <c r="J48" s="12">
        <v>28978</v>
      </c>
      <c r="K48" s="12">
        <v>1201</v>
      </c>
      <c r="L48" s="217" t="s">
        <v>250</v>
      </c>
      <c r="M48" s="12">
        <v>1419</v>
      </c>
      <c r="N48" s="12"/>
      <c r="O48" s="12">
        <v>345</v>
      </c>
      <c r="P48" s="12">
        <v>345</v>
      </c>
      <c r="Q48" s="12">
        <v>250</v>
      </c>
      <c r="R48" s="12">
        <v>418</v>
      </c>
      <c r="S48" s="120">
        <v>6636.4</v>
      </c>
      <c r="T48" s="120">
        <v>4675.6</v>
      </c>
      <c r="U48" s="12">
        <v>168</v>
      </c>
      <c r="V48" s="121">
        <v>3297.9</v>
      </c>
      <c r="W48" s="121">
        <v>2334.8</v>
      </c>
      <c r="X48" s="12">
        <f>O48-U48</f>
        <v>177</v>
      </c>
      <c r="Y48" s="37">
        <f>S48-V48</f>
        <v>3338.4999999999995</v>
      </c>
      <c r="Z48" s="37">
        <f>T48-W48</f>
        <v>2340.8</v>
      </c>
      <c r="AA48" s="97">
        <f>AB48+AE48</f>
        <v>55.1</v>
      </c>
      <c r="AB48" s="120">
        <f>AC48+AD48</f>
        <v>55.1</v>
      </c>
      <c r="AC48" s="37"/>
      <c r="AD48" s="120">
        <v>55.1</v>
      </c>
      <c r="AE48" s="37"/>
      <c r="AF48" s="96">
        <f>S48+AA48</f>
        <v>6691.5</v>
      </c>
      <c r="AG48" s="12"/>
      <c r="AH48" s="12">
        <v>2</v>
      </c>
      <c r="AI48" s="12">
        <v>2</v>
      </c>
      <c r="AJ48" s="12">
        <v>1</v>
      </c>
      <c r="AK48" s="12"/>
      <c r="AL48" s="12">
        <v>1</v>
      </c>
      <c r="AM48" s="12">
        <v>4534</v>
      </c>
      <c r="AN48" s="12"/>
      <c r="AO48" s="12">
        <v>480</v>
      </c>
      <c r="AP48" s="12">
        <v>220</v>
      </c>
      <c r="AQ48" s="12">
        <v>76</v>
      </c>
      <c r="AR48" s="12">
        <v>7423</v>
      </c>
      <c r="AS48" s="12"/>
      <c r="AT48" s="12">
        <v>7423</v>
      </c>
      <c r="AU48" s="12">
        <v>3268</v>
      </c>
      <c r="AV48" s="12">
        <v>232</v>
      </c>
      <c r="AW48" s="12">
        <v>1173</v>
      </c>
      <c r="AX48" s="12">
        <v>1173</v>
      </c>
      <c r="AY48" s="12">
        <v>34</v>
      </c>
      <c r="AZ48" s="12">
        <v>54</v>
      </c>
      <c r="BA48" s="12">
        <v>378</v>
      </c>
      <c r="BB48" s="12">
        <v>1097</v>
      </c>
      <c r="BC48" s="12">
        <v>1</v>
      </c>
      <c r="BD48" s="12">
        <v>17000</v>
      </c>
      <c r="BE48" s="12">
        <v>710</v>
      </c>
      <c r="BF48" s="12">
        <v>200</v>
      </c>
      <c r="BG48" s="12"/>
      <c r="BH48" s="12"/>
      <c r="BI48" s="12"/>
      <c r="BJ48" s="43">
        <f>G48</f>
        <v>1</v>
      </c>
      <c r="BK48" s="43">
        <f>S48</f>
        <v>6636.4</v>
      </c>
      <c r="BL48" s="43">
        <f>T48</f>
        <v>4675.6</v>
      </c>
      <c r="BM48" s="43"/>
      <c r="BN48" s="43"/>
      <c r="BO48" s="43"/>
      <c r="BP48" s="12"/>
      <c r="BQ48" s="12"/>
      <c r="BR48" s="12"/>
      <c r="BS48" s="12"/>
      <c r="BT48" s="12"/>
      <c r="BU48" s="43"/>
      <c r="BV48" s="12">
        <f>AI48*85.85</f>
        <v>171.7</v>
      </c>
      <c r="BW48" s="12">
        <f>AI48*50.57</f>
        <v>101.14</v>
      </c>
      <c r="BX48" s="12">
        <f>AI48*1165.39</f>
        <v>2330.78</v>
      </c>
      <c r="BY48" s="12">
        <v>2</v>
      </c>
      <c r="BZ48" s="12"/>
      <c r="CA48" s="12"/>
      <c r="CB48" s="12"/>
      <c r="CC48" s="12"/>
      <c r="CD48" s="122">
        <v>247.6</v>
      </c>
      <c r="CE48" s="122">
        <v>1567.7</v>
      </c>
      <c r="CF48" s="122">
        <v>6.4</v>
      </c>
      <c r="CG48" s="122">
        <v>187</v>
      </c>
      <c r="CH48" s="122">
        <v>1138.8</v>
      </c>
      <c r="CI48" s="122"/>
      <c r="CJ48" s="122">
        <v>1173</v>
      </c>
      <c r="CK48" s="98">
        <v>39.199999999999996</v>
      </c>
      <c r="CL48" s="98">
        <v>118.9</v>
      </c>
      <c r="CM48" s="58">
        <f>CD48+CE48+CF48+CG48+CH48+CI48+CJ48+CK48+CL48</f>
        <v>4478.599999999999</v>
      </c>
      <c r="CN48" s="46">
        <v>3550</v>
      </c>
      <c r="CO48" s="46">
        <f>CN48-K48</f>
        <v>2349</v>
      </c>
      <c r="CP48" s="12"/>
      <c r="CQ48" s="123"/>
      <c r="CR48" s="123"/>
      <c r="CS48" s="12"/>
      <c r="CT48" s="12"/>
      <c r="CU48" s="1"/>
      <c r="CV48" s="55" t="str">
        <f>IF(CW48&gt;0,G48,"0")</f>
        <v>0</v>
      </c>
      <c r="CW48" s="54">
        <f>AS48</f>
        <v>0</v>
      </c>
      <c r="CX48" s="55">
        <f>IF(CY48&gt;0,G48,"0")</f>
        <v>1</v>
      </c>
      <c r="CY48" s="54">
        <f>AT48</f>
        <v>7423</v>
      </c>
      <c r="CZ48" s="54">
        <f>CV48+CX48</f>
        <v>1</v>
      </c>
      <c r="DA48" s="54">
        <f>CW48+CY48</f>
        <v>7423</v>
      </c>
      <c r="DB48" s="1"/>
      <c r="DC48" s="1"/>
      <c r="DD48" s="1"/>
      <c r="DE48" s="1"/>
      <c r="DF48" s="1"/>
      <c r="DG48" s="1"/>
      <c r="DH48" s="1"/>
      <c r="DI48" s="1"/>
    </row>
    <row r="49" spans="1:113" s="53" customFormat="1" ht="12.75">
      <c r="A49" s="51" t="s">
        <v>128</v>
      </c>
      <c r="B49" s="40">
        <v>43</v>
      </c>
      <c r="C49" s="11" t="s">
        <v>92</v>
      </c>
      <c r="D49" s="116">
        <v>1974</v>
      </c>
      <c r="E49" s="117" t="s">
        <v>159</v>
      </c>
      <c r="F49" s="118" t="s">
        <v>156</v>
      </c>
      <c r="G49" s="119">
        <v>1</v>
      </c>
      <c r="H49" s="117">
        <v>9</v>
      </c>
      <c r="I49" s="117" t="s">
        <v>145</v>
      </c>
      <c r="J49" s="12">
        <v>29148</v>
      </c>
      <c r="K49" s="12">
        <v>1210</v>
      </c>
      <c r="L49" s="217" t="s">
        <v>251</v>
      </c>
      <c r="M49" s="12">
        <v>1408</v>
      </c>
      <c r="N49" s="12"/>
      <c r="O49" s="12">
        <v>354</v>
      </c>
      <c r="P49" s="12">
        <v>354</v>
      </c>
      <c r="Q49" s="12">
        <v>200</v>
      </c>
      <c r="R49" s="12">
        <v>463</v>
      </c>
      <c r="S49" s="120">
        <v>6748.89</v>
      </c>
      <c r="T49" s="120">
        <v>4891.79</v>
      </c>
      <c r="U49" s="12">
        <v>135</v>
      </c>
      <c r="V49" s="121">
        <v>2602.54</v>
      </c>
      <c r="W49" s="121">
        <v>1892.85</v>
      </c>
      <c r="X49" s="12">
        <f>O49-U49</f>
        <v>219</v>
      </c>
      <c r="Y49" s="37">
        <f>S49-V49</f>
        <v>4146.35</v>
      </c>
      <c r="Z49" s="37">
        <f>T49-W49</f>
        <v>2998.94</v>
      </c>
      <c r="AA49" s="97">
        <f>AB49+AE49</f>
        <v>93.13</v>
      </c>
      <c r="AB49" s="120">
        <f>AC49+AD49</f>
        <v>93.13</v>
      </c>
      <c r="AC49" s="37"/>
      <c r="AD49" s="120">
        <v>93.13</v>
      </c>
      <c r="AE49" s="37"/>
      <c r="AF49" s="96">
        <f>S49+AA49</f>
        <v>6842.02</v>
      </c>
      <c r="AG49" s="12"/>
      <c r="AH49" s="12">
        <v>2</v>
      </c>
      <c r="AI49" s="12">
        <v>2</v>
      </c>
      <c r="AJ49" s="12">
        <v>1</v>
      </c>
      <c r="AK49" s="12"/>
      <c r="AL49" s="12">
        <v>1</v>
      </c>
      <c r="AM49" s="12">
        <v>4533</v>
      </c>
      <c r="AN49" s="12"/>
      <c r="AO49" s="12">
        <v>300</v>
      </c>
      <c r="AP49" s="12">
        <v>184</v>
      </c>
      <c r="AQ49" s="12">
        <v>76</v>
      </c>
      <c r="AR49" s="12">
        <v>6010</v>
      </c>
      <c r="AS49" s="12"/>
      <c r="AT49" s="12">
        <v>6010</v>
      </c>
      <c r="AU49" s="12">
        <v>3268</v>
      </c>
      <c r="AV49" s="12">
        <v>309</v>
      </c>
      <c r="AW49" s="12">
        <v>1174</v>
      </c>
      <c r="AX49" s="12">
        <v>1174</v>
      </c>
      <c r="AY49" s="12">
        <v>34</v>
      </c>
      <c r="AZ49" s="12">
        <v>54</v>
      </c>
      <c r="BA49" s="12">
        <v>387</v>
      </c>
      <c r="BB49" s="12">
        <v>1121</v>
      </c>
      <c r="BC49" s="12">
        <v>1</v>
      </c>
      <c r="BD49" s="12">
        <v>17000</v>
      </c>
      <c r="BE49" s="12">
        <v>710</v>
      </c>
      <c r="BF49" s="12">
        <v>200</v>
      </c>
      <c r="BG49" s="12"/>
      <c r="BH49" s="12"/>
      <c r="BI49" s="12"/>
      <c r="BJ49" s="43">
        <f>G49</f>
        <v>1</v>
      </c>
      <c r="BK49" s="43">
        <f>S49</f>
        <v>6748.89</v>
      </c>
      <c r="BL49" s="43">
        <f>T49</f>
        <v>4891.79</v>
      </c>
      <c r="BM49" s="43"/>
      <c r="BN49" s="43"/>
      <c r="BO49" s="43"/>
      <c r="BP49" s="12"/>
      <c r="BQ49" s="12"/>
      <c r="BR49" s="12"/>
      <c r="BS49" s="12"/>
      <c r="BT49" s="12"/>
      <c r="BU49" s="43"/>
      <c r="BV49" s="12">
        <f>AI49*85.85</f>
        <v>171.7</v>
      </c>
      <c r="BW49" s="12">
        <f>AI49*50.57</f>
        <v>101.14</v>
      </c>
      <c r="BX49" s="12">
        <f>AI49*1165.39</f>
        <v>2330.78</v>
      </c>
      <c r="BY49" s="12">
        <v>2</v>
      </c>
      <c r="BZ49" s="12"/>
      <c r="CA49" s="12"/>
      <c r="CB49" s="12"/>
      <c r="CC49" s="12"/>
      <c r="CD49" s="122">
        <v>258.72</v>
      </c>
      <c r="CE49" s="122">
        <v>1627.65</v>
      </c>
      <c r="CF49" s="122">
        <v>6.14</v>
      </c>
      <c r="CG49" s="122">
        <v>268.22</v>
      </c>
      <c r="CH49" s="122">
        <v>1174</v>
      </c>
      <c r="CI49" s="122"/>
      <c r="CJ49" s="122">
        <v>1174</v>
      </c>
      <c r="CK49" s="98">
        <v>22.5</v>
      </c>
      <c r="CL49" s="98">
        <v>139.1</v>
      </c>
      <c r="CM49" s="58">
        <f>CD49+CE49+CF49+CG49+CH49+CI49+CJ49+CK49+CL49</f>
        <v>4670.330000000001</v>
      </c>
      <c r="CN49" s="46">
        <v>2906</v>
      </c>
      <c r="CO49" s="46">
        <f>CN49-K49</f>
        <v>1696</v>
      </c>
      <c r="CP49" s="12"/>
      <c r="CQ49" s="123"/>
      <c r="CR49" s="123"/>
      <c r="CS49" s="12"/>
      <c r="CT49" s="12"/>
      <c r="CU49" s="1"/>
      <c r="CV49" s="55" t="str">
        <f>IF(CW49&gt;0,G49,"0")</f>
        <v>0</v>
      </c>
      <c r="CW49" s="54">
        <f>AS49</f>
        <v>0</v>
      </c>
      <c r="CX49" s="55">
        <f>IF(CY49&gt;0,G49,"0")</f>
        <v>1</v>
      </c>
      <c r="CY49" s="54">
        <f>AT49</f>
        <v>6010</v>
      </c>
      <c r="CZ49" s="54">
        <f>CV49+CX49</f>
        <v>1</v>
      </c>
      <c r="DA49" s="54">
        <f>CW49+CY49</f>
        <v>6010</v>
      </c>
      <c r="DB49" s="1"/>
      <c r="DC49" s="1"/>
      <c r="DD49" s="1"/>
      <c r="DE49" s="1"/>
      <c r="DF49" s="1"/>
      <c r="DG49" s="1"/>
      <c r="DH49" s="1"/>
      <c r="DI49" s="1"/>
    </row>
    <row r="50" spans="1:113" s="53" customFormat="1" ht="12.75">
      <c r="A50" s="51" t="s">
        <v>128</v>
      </c>
      <c r="B50" s="40">
        <v>44</v>
      </c>
      <c r="C50" s="11" t="s">
        <v>93</v>
      </c>
      <c r="D50" s="116">
        <v>1972</v>
      </c>
      <c r="E50" s="117" t="s">
        <v>159</v>
      </c>
      <c r="F50" s="118" t="s">
        <v>156</v>
      </c>
      <c r="G50" s="119">
        <v>1</v>
      </c>
      <c r="H50" s="117">
        <v>9</v>
      </c>
      <c r="I50" s="117" t="s">
        <v>145</v>
      </c>
      <c r="J50" s="12">
        <v>29083</v>
      </c>
      <c r="K50" s="12">
        <v>1192</v>
      </c>
      <c r="L50" s="217" t="s">
        <v>252</v>
      </c>
      <c r="M50" s="12">
        <v>1404</v>
      </c>
      <c r="N50" s="12"/>
      <c r="O50" s="12">
        <v>352</v>
      </c>
      <c r="P50" s="12">
        <v>352</v>
      </c>
      <c r="Q50" s="12">
        <v>294</v>
      </c>
      <c r="R50" s="12">
        <v>434</v>
      </c>
      <c r="S50" s="120">
        <v>6712.34</v>
      </c>
      <c r="T50" s="120">
        <v>4880.12</v>
      </c>
      <c r="U50" s="12">
        <v>193</v>
      </c>
      <c r="V50" s="121">
        <v>3735.26</v>
      </c>
      <c r="W50" s="121">
        <v>2718.77</v>
      </c>
      <c r="X50" s="12">
        <f>O50-U50</f>
        <v>159</v>
      </c>
      <c r="Y50" s="37">
        <f>S50-V50</f>
        <v>2977.08</v>
      </c>
      <c r="Z50" s="37">
        <f>T50-W50</f>
        <v>2161.35</v>
      </c>
      <c r="AA50" s="97">
        <f>AB50+AE50</f>
        <v>129.11</v>
      </c>
      <c r="AB50" s="120">
        <f>AC50+AD50</f>
        <v>129.11</v>
      </c>
      <c r="AC50" s="37"/>
      <c r="AD50" s="120">
        <v>129.11</v>
      </c>
      <c r="AE50" s="37"/>
      <c r="AF50" s="96">
        <f>S50+AA50</f>
        <v>6841.45</v>
      </c>
      <c r="AG50" s="12"/>
      <c r="AH50" s="12">
        <v>2</v>
      </c>
      <c r="AI50" s="12">
        <v>2</v>
      </c>
      <c r="AJ50" s="12">
        <v>1</v>
      </c>
      <c r="AK50" s="12"/>
      <c r="AL50" s="12">
        <v>1</v>
      </c>
      <c r="AM50" s="12">
        <v>4561</v>
      </c>
      <c r="AN50" s="12"/>
      <c r="AO50" s="12">
        <v>381</v>
      </c>
      <c r="AP50" s="12">
        <v>236</v>
      </c>
      <c r="AQ50" s="12">
        <v>76</v>
      </c>
      <c r="AR50" s="12">
        <v>7403</v>
      </c>
      <c r="AS50" s="12"/>
      <c r="AT50" s="12">
        <v>7403</v>
      </c>
      <c r="AU50" s="12">
        <v>3384</v>
      </c>
      <c r="AV50" s="12">
        <v>231</v>
      </c>
      <c r="AW50" s="12">
        <v>1174</v>
      </c>
      <c r="AX50" s="12">
        <v>1174</v>
      </c>
      <c r="AY50" s="12">
        <v>34</v>
      </c>
      <c r="AZ50" s="12">
        <v>54</v>
      </c>
      <c r="BA50" s="12">
        <v>384</v>
      </c>
      <c r="BB50" s="12">
        <v>1121</v>
      </c>
      <c r="BC50" s="12">
        <v>1</v>
      </c>
      <c r="BD50" s="12">
        <v>17000</v>
      </c>
      <c r="BE50" s="12">
        <v>710</v>
      </c>
      <c r="BF50" s="12">
        <v>200</v>
      </c>
      <c r="BG50" s="12"/>
      <c r="BH50" s="12"/>
      <c r="BI50" s="12"/>
      <c r="BJ50" s="43">
        <f>G50</f>
        <v>1</v>
      </c>
      <c r="BK50" s="43">
        <f>S50</f>
        <v>6712.34</v>
      </c>
      <c r="BL50" s="43">
        <f>T50</f>
        <v>4880.12</v>
      </c>
      <c r="BM50" s="43"/>
      <c r="BN50" s="43"/>
      <c r="BO50" s="43"/>
      <c r="BP50" s="12"/>
      <c r="BQ50" s="12"/>
      <c r="BR50" s="12"/>
      <c r="BS50" s="12"/>
      <c r="BT50" s="12"/>
      <c r="BU50" s="43"/>
      <c r="BV50" s="12">
        <f>AI50*85.85</f>
        <v>171.7</v>
      </c>
      <c r="BW50" s="12">
        <f>AI50*50.57</f>
        <v>101.14</v>
      </c>
      <c r="BX50" s="12">
        <f>AI50*1165.39</f>
        <v>2330.78</v>
      </c>
      <c r="BY50" s="12">
        <v>2</v>
      </c>
      <c r="BZ50" s="12"/>
      <c r="CA50" s="12"/>
      <c r="CB50" s="12"/>
      <c r="CC50" s="12"/>
      <c r="CD50" s="122">
        <v>248.85</v>
      </c>
      <c r="CE50" s="122">
        <v>1680.69</v>
      </c>
      <c r="CF50" s="122">
        <v>5.1</v>
      </c>
      <c r="CG50" s="122">
        <v>249.56</v>
      </c>
      <c r="CH50" s="122">
        <v>1140.04</v>
      </c>
      <c r="CI50" s="122"/>
      <c r="CJ50" s="122">
        <v>1174</v>
      </c>
      <c r="CK50" s="98">
        <v>22.3</v>
      </c>
      <c r="CL50" s="98">
        <v>213.26</v>
      </c>
      <c r="CM50" s="58">
        <f>CD50+CE50+CF50+CG50+CH50+CI50+CJ50+CK50+CL50</f>
        <v>4733.8</v>
      </c>
      <c r="CN50" s="46">
        <v>2472</v>
      </c>
      <c r="CO50" s="46">
        <f>CN50-K50</f>
        <v>1280</v>
      </c>
      <c r="CP50" s="12"/>
      <c r="CQ50" s="123"/>
      <c r="CR50" s="123"/>
      <c r="CS50" s="12"/>
      <c r="CT50" s="12"/>
      <c r="CU50" s="1"/>
      <c r="CV50" s="55" t="str">
        <f>IF(CW50&gt;0,G50,"0")</f>
        <v>0</v>
      </c>
      <c r="CW50" s="54">
        <f>AS50</f>
        <v>0</v>
      </c>
      <c r="CX50" s="55">
        <f>IF(CY50&gt;0,G50,"0")</f>
        <v>1</v>
      </c>
      <c r="CY50" s="54">
        <f>AT50</f>
        <v>7403</v>
      </c>
      <c r="CZ50" s="54">
        <f>CV50+CX50</f>
        <v>1</v>
      </c>
      <c r="DA50" s="54">
        <f>CW50+CY50</f>
        <v>7403</v>
      </c>
      <c r="DB50" s="1"/>
      <c r="DC50" s="1"/>
      <c r="DD50" s="1"/>
      <c r="DE50" s="1"/>
      <c r="DF50" s="1"/>
      <c r="DG50" s="1"/>
      <c r="DH50" s="1"/>
      <c r="DI50" s="1"/>
    </row>
    <row r="51" spans="1:113" s="53" customFormat="1" ht="12.75">
      <c r="A51" s="51" t="s">
        <v>128</v>
      </c>
      <c r="B51" s="40">
        <v>45</v>
      </c>
      <c r="C51" s="11" t="s">
        <v>96</v>
      </c>
      <c r="D51" s="116">
        <v>1978</v>
      </c>
      <c r="E51" s="117" t="s">
        <v>159</v>
      </c>
      <c r="F51" s="118" t="s">
        <v>156</v>
      </c>
      <c r="G51" s="119">
        <v>1</v>
      </c>
      <c r="H51" s="117">
        <v>9</v>
      </c>
      <c r="I51" s="117" t="s">
        <v>145</v>
      </c>
      <c r="J51" s="12">
        <v>29472</v>
      </c>
      <c r="K51" s="12">
        <v>1222</v>
      </c>
      <c r="L51" s="217" t="s">
        <v>253</v>
      </c>
      <c r="M51" s="12">
        <v>1414</v>
      </c>
      <c r="N51" s="12"/>
      <c r="O51" s="12">
        <v>326</v>
      </c>
      <c r="P51" s="12">
        <v>326</v>
      </c>
      <c r="Q51" s="12">
        <v>200</v>
      </c>
      <c r="R51" s="12">
        <v>434</v>
      </c>
      <c r="S51" s="120">
        <v>6418.6</v>
      </c>
      <c r="T51" s="120">
        <v>4621.4</v>
      </c>
      <c r="U51" s="12">
        <v>173</v>
      </c>
      <c r="V51" s="121">
        <v>3430.1</v>
      </c>
      <c r="W51" s="121">
        <v>2485.5</v>
      </c>
      <c r="X51" s="12">
        <f>O51-U51</f>
        <v>153</v>
      </c>
      <c r="Y51" s="37">
        <f>S51-V51</f>
        <v>2988.5000000000005</v>
      </c>
      <c r="Z51" s="37">
        <f>T51-W51</f>
        <v>2135.8999999999996</v>
      </c>
      <c r="AA51" s="97">
        <f>AB51+AE51</f>
        <v>148.99</v>
      </c>
      <c r="AB51" s="120">
        <f>AC51+AD51</f>
        <v>148.99</v>
      </c>
      <c r="AC51" s="37"/>
      <c r="AD51" s="120">
        <v>148.99</v>
      </c>
      <c r="AE51" s="37"/>
      <c r="AF51" s="96">
        <f>S51+AA51</f>
        <v>6567.59</v>
      </c>
      <c r="AG51" s="12"/>
      <c r="AH51" s="12">
        <v>2</v>
      </c>
      <c r="AI51" s="12">
        <v>2</v>
      </c>
      <c r="AJ51" s="12">
        <v>1</v>
      </c>
      <c r="AK51" s="12"/>
      <c r="AL51" s="12">
        <v>1</v>
      </c>
      <c r="AM51" s="12">
        <v>4595</v>
      </c>
      <c r="AN51" s="12"/>
      <c r="AO51" s="12">
        <v>81</v>
      </c>
      <c r="AP51" s="12">
        <v>276</v>
      </c>
      <c r="AQ51" s="12">
        <v>76</v>
      </c>
      <c r="AR51" s="12">
        <v>7383</v>
      </c>
      <c r="AS51" s="12"/>
      <c r="AT51" s="12">
        <v>7383</v>
      </c>
      <c r="AU51" s="12">
        <v>3288</v>
      </c>
      <c r="AV51" s="12">
        <v>230</v>
      </c>
      <c r="AW51" s="12">
        <v>1175</v>
      </c>
      <c r="AX51" s="12">
        <v>1175</v>
      </c>
      <c r="AY51" s="12">
        <v>34</v>
      </c>
      <c r="AZ51" s="12">
        <v>78</v>
      </c>
      <c r="BA51" s="12">
        <v>371</v>
      </c>
      <c r="BB51" s="12">
        <v>1113</v>
      </c>
      <c r="BC51" s="12">
        <v>1</v>
      </c>
      <c r="BD51" s="12">
        <v>17000</v>
      </c>
      <c r="BE51" s="12">
        <v>710</v>
      </c>
      <c r="BF51" s="12">
        <v>200</v>
      </c>
      <c r="BG51" s="12"/>
      <c r="BH51" s="12"/>
      <c r="BI51" s="12"/>
      <c r="BJ51" s="43">
        <f>G51</f>
        <v>1</v>
      </c>
      <c r="BK51" s="43">
        <f>S51</f>
        <v>6418.6</v>
      </c>
      <c r="BL51" s="43">
        <f>T51</f>
        <v>4621.4</v>
      </c>
      <c r="BM51" s="43"/>
      <c r="BN51" s="43"/>
      <c r="BO51" s="43"/>
      <c r="BP51" s="12"/>
      <c r="BQ51" s="12"/>
      <c r="BR51" s="12"/>
      <c r="BS51" s="12"/>
      <c r="BT51" s="12"/>
      <c r="BU51" s="43"/>
      <c r="BV51" s="12">
        <f>AI51*85.85</f>
        <v>171.7</v>
      </c>
      <c r="BW51" s="12">
        <f>AI51*50.57</f>
        <v>101.14</v>
      </c>
      <c r="BX51" s="12">
        <f>AI51*1165.39</f>
        <v>2330.78</v>
      </c>
      <c r="BY51" s="12">
        <v>2</v>
      </c>
      <c r="BZ51" s="12"/>
      <c r="CA51" s="12"/>
      <c r="CB51" s="12"/>
      <c r="CC51" s="12"/>
      <c r="CD51" s="122">
        <v>249.7</v>
      </c>
      <c r="CE51" s="122">
        <v>1496.4</v>
      </c>
      <c r="CF51" s="122">
        <v>6</v>
      </c>
      <c r="CG51" s="122">
        <v>434.4</v>
      </c>
      <c r="CH51" s="122">
        <v>1148.1</v>
      </c>
      <c r="CI51" s="122"/>
      <c r="CJ51" s="122">
        <v>1175</v>
      </c>
      <c r="CK51" s="98"/>
      <c r="CL51" s="98">
        <v>68</v>
      </c>
      <c r="CM51" s="58">
        <f>CD51+CE51+CF51+CG51+CH51+CI51+CJ51+CK51+CL51</f>
        <v>4577.6</v>
      </c>
      <c r="CN51" s="46">
        <v>3221</v>
      </c>
      <c r="CO51" s="46">
        <f>CN51-K51</f>
        <v>1999</v>
      </c>
      <c r="CP51" s="12"/>
      <c r="CQ51" s="123"/>
      <c r="CR51" s="123"/>
      <c r="CS51" s="12"/>
      <c r="CT51" s="12"/>
      <c r="CU51" s="1"/>
      <c r="CV51" s="55" t="str">
        <f>IF(CW51&gt;0,G51,"0")</f>
        <v>0</v>
      </c>
      <c r="CW51" s="54">
        <f>AS51</f>
        <v>0</v>
      </c>
      <c r="CX51" s="55">
        <f>IF(CY51&gt;0,G51,"0")</f>
        <v>1</v>
      </c>
      <c r="CY51" s="54">
        <f>AT51</f>
        <v>7383</v>
      </c>
      <c r="CZ51" s="54">
        <f>CV51+CX51</f>
        <v>1</v>
      </c>
      <c r="DA51" s="54">
        <f>CW51+CY51</f>
        <v>7383</v>
      </c>
      <c r="DB51" s="1"/>
      <c r="DC51" s="1"/>
      <c r="DD51" s="1"/>
      <c r="DE51" s="1"/>
      <c r="DF51" s="1"/>
      <c r="DG51" s="1"/>
      <c r="DH51" s="1"/>
      <c r="DI51" s="1"/>
    </row>
    <row r="52" spans="1:113" s="42" customFormat="1" ht="12.75">
      <c r="A52" s="49" t="s">
        <v>129</v>
      </c>
      <c r="B52" s="40">
        <v>46</v>
      </c>
      <c r="C52" s="11" t="s">
        <v>132</v>
      </c>
      <c r="D52" s="124">
        <v>1975</v>
      </c>
      <c r="E52" s="117" t="s">
        <v>155</v>
      </c>
      <c r="F52" s="118" t="s">
        <v>156</v>
      </c>
      <c r="G52" s="56">
        <v>1</v>
      </c>
      <c r="H52" s="125">
        <v>9</v>
      </c>
      <c r="I52" s="117" t="s">
        <v>145</v>
      </c>
      <c r="J52" s="56">
        <v>29083</v>
      </c>
      <c r="K52" s="56">
        <v>1215</v>
      </c>
      <c r="L52" s="56" t="s">
        <v>254</v>
      </c>
      <c r="M52" s="56"/>
      <c r="N52" s="56">
        <v>1232</v>
      </c>
      <c r="O52" s="56">
        <v>345</v>
      </c>
      <c r="P52" s="56">
        <v>345</v>
      </c>
      <c r="Q52" s="56">
        <v>504</v>
      </c>
      <c r="R52" s="56">
        <v>480</v>
      </c>
      <c r="S52" s="126">
        <v>6592.1</v>
      </c>
      <c r="T52" s="126">
        <v>4776.6</v>
      </c>
      <c r="U52" s="56">
        <v>162</v>
      </c>
      <c r="V52" s="127">
        <v>3121.81</v>
      </c>
      <c r="W52" s="127">
        <v>2268.4</v>
      </c>
      <c r="X52" s="56">
        <f>O52-U52</f>
        <v>183</v>
      </c>
      <c r="Y52" s="128">
        <f>S52-V52</f>
        <v>3470.2900000000004</v>
      </c>
      <c r="Z52" s="128">
        <f>T52-W52</f>
        <v>2508.2000000000003</v>
      </c>
      <c r="AA52" s="129">
        <f>AB52+AE52</f>
        <v>89.6</v>
      </c>
      <c r="AB52" s="130">
        <f>AC52+AD52</f>
        <v>89.6</v>
      </c>
      <c r="AC52" s="129"/>
      <c r="AD52" s="130">
        <v>89.6</v>
      </c>
      <c r="AE52" s="128"/>
      <c r="AF52" s="96">
        <f>S52+AA52</f>
        <v>6681.700000000001</v>
      </c>
      <c r="AG52" s="56"/>
      <c r="AH52" s="56">
        <v>2</v>
      </c>
      <c r="AI52" s="56">
        <v>2</v>
      </c>
      <c r="AJ52" s="56">
        <v>1</v>
      </c>
      <c r="AK52" s="56"/>
      <c r="AL52" s="56">
        <v>1</v>
      </c>
      <c r="AM52" s="56">
        <v>4603</v>
      </c>
      <c r="AN52" s="56"/>
      <c r="AO52" s="56">
        <v>324</v>
      </c>
      <c r="AP52" s="131">
        <v>247</v>
      </c>
      <c r="AQ52" s="56">
        <v>76</v>
      </c>
      <c r="AR52" s="56">
        <v>7224</v>
      </c>
      <c r="AS52" s="56"/>
      <c r="AT52" s="56">
        <v>7224</v>
      </c>
      <c r="AU52" s="56">
        <v>3390</v>
      </c>
      <c r="AV52" s="56">
        <v>223</v>
      </c>
      <c r="AW52" s="56">
        <v>1174</v>
      </c>
      <c r="AX52" s="56">
        <v>1174</v>
      </c>
      <c r="AY52" s="56">
        <v>62</v>
      </c>
      <c r="AZ52" s="56">
        <v>54</v>
      </c>
      <c r="BA52" s="56">
        <v>378</v>
      </c>
      <c r="BB52" s="56">
        <v>1096</v>
      </c>
      <c r="BC52" s="56">
        <v>1</v>
      </c>
      <c r="BD52" s="56">
        <v>17000</v>
      </c>
      <c r="BE52" s="56">
        <v>710</v>
      </c>
      <c r="BF52" s="56">
        <v>200</v>
      </c>
      <c r="BG52" s="56"/>
      <c r="BH52" s="56"/>
      <c r="BI52" s="56"/>
      <c r="BJ52" s="56">
        <f>G52</f>
        <v>1</v>
      </c>
      <c r="BK52" s="56">
        <f>S52</f>
        <v>6592.1</v>
      </c>
      <c r="BL52" s="56">
        <f>T52</f>
        <v>4776.6</v>
      </c>
      <c r="BM52" s="56"/>
      <c r="BN52" s="56"/>
      <c r="BO52" s="56"/>
      <c r="BP52" s="56"/>
      <c r="BQ52" s="56"/>
      <c r="BR52" s="56"/>
      <c r="BS52" s="56"/>
      <c r="BT52" s="56"/>
      <c r="BU52" s="56"/>
      <c r="BV52" s="56">
        <f>AI52*85.85</f>
        <v>171.7</v>
      </c>
      <c r="BW52" s="56">
        <f>AI52*50.57</f>
        <v>101.14</v>
      </c>
      <c r="BX52" s="56">
        <f>AI52*1165.39</f>
        <v>2330.78</v>
      </c>
      <c r="BY52" s="56"/>
      <c r="BZ52" s="56"/>
      <c r="CA52" s="56"/>
      <c r="CB52" s="56"/>
      <c r="CC52" s="56"/>
      <c r="CD52" s="132">
        <v>247.4</v>
      </c>
      <c r="CE52" s="132">
        <v>1532.5</v>
      </c>
      <c r="CF52" s="132">
        <v>4.6</v>
      </c>
      <c r="CG52" s="132">
        <v>205.3</v>
      </c>
      <c r="CH52" s="132"/>
      <c r="CI52" s="132"/>
      <c r="CJ52" s="132">
        <v>1174</v>
      </c>
      <c r="CK52" s="98"/>
      <c r="CL52" s="98">
        <v>145</v>
      </c>
      <c r="CM52" s="58">
        <f>CD52+CE52+CF52+CG52+CH52+CI52+CJ52+CK52+CL52</f>
        <v>3308.8</v>
      </c>
      <c r="CN52" s="46">
        <v>2340</v>
      </c>
      <c r="CO52" s="46">
        <f>CN52-K52</f>
        <v>1125</v>
      </c>
      <c r="CP52" s="56"/>
      <c r="CQ52" s="133"/>
      <c r="CR52" s="133"/>
      <c r="CS52" s="56"/>
      <c r="CT52" s="56"/>
      <c r="CU52" s="14"/>
      <c r="CV52" s="55" t="str">
        <f>IF(CW52&gt;0,G52,"0")</f>
        <v>0</v>
      </c>
      <c r="CW52" s="54">
        <f>AS52</f>
        <v>0</v>
      </c>
      <c r="CX52" s="55">
        <f>IF(CY52&gt;0,G52,"0")</f>
        <v>1</v>
      </c>
      <c r="CY52" s="54">
        <f>AT52</f>
        <v>7224</v>
      </c>
      <c r="CZ52" s="54">
        <f>CV52+CX52</f>
        <v>1</v>
      </c>
      <c r="DA52" s="54">
        <f>CW52+CY52</f>
        <v>7224</v>
      </c>
      <c r="DB52" s="14"/>
      <c r="DC52" s="14"/>
      <c r="DD52" s="14"/>
      <c r="DE52" s="14"/>
      <c r="DF52" s="14"/>
      <c r="DG52" s="14"/>
      <c r="DH52" s="14"/>
      <c r="DI52" s="14"/>
    </row>
    <row r="53" spans="1:113" s="42" customFormat="1" ht="12.75">
      <c r="A53" s="49" t="s">
        <v>129</v>
      </c>
      <c r="B53" s="40">
        <v>47</v>
      </c>
      <c r="C53" s="11" t="s">
        <v>130</v>
      </c>
      <c r="D53" s="124">
        <v>1974</v>
      </c>
      <c r="E53" s="117" t="s">
        <v>155</v>
      </c>
      <c r="F53" s="118" t="s">
        <v>156</v>
      </c>
      <c r="G53" s="56">
        <v>1</v>
      </c>
      <c r="H53" s="125">
        <v>9</v>
      </c>
      <c r="I53" s="117" t="s">
        <v>145</v>
      </c>
      <c r="J53" s="56">
        <v>29080</v>
      </c>
      <c r="K53" s="56">
        <v>1208</v>
      </c>
      <c r="L53" s="56" t="s">
        <v>255</v>
      </c>
      <c r="M53" s="56">
        <v>1407</v>
      </c>
      <c r="N53" s="56"/>
      <c r="O53" s="56">
        <v>345</v>
      </c>
      <c r="P53" s="56">
        <v>345</v>
      </c>
      <c r="Q53" s="56">
        <v>591</v>
      </c>
      <c r="R53" s="56">
        <v>572</v>
      </c>
      <c r="S53" s="126">
        <v>6582.84</v>
      </c>
      <c r="T53" s="126">
        <v>4837.3</v>
      </c>
      <c r="U53" s="56">
        <v>128</v>
      </c>
      <c r="V53" s="127">
        <v>2497.96</v>
      </c>
      <c r="W53" s="127">
        <v>1833.97</v>
      </c>
      <c r="X53" s="56">
        <f>O53-U53</f>
        <v>217</v>
      </c>
      <c r="Y53" s="128">
        <f>S53-V53</f>
        <v>4084.88</v>
      </c>
      <c r="Z53" s="128">
        <f>T53-W53</f>
        <v>3003.33</v>
      </c>
      <c r="AA53" s="129">
        <f>AB53+AE53</f>
        <v>75.1</v>
      </c>
      <c r="AB53" s="130">
        <f>AC53+AD53</f>
        <v>75.1</v>
      </c>
      <c r="AC53" s="129"/>
      <c r="AD53" s="130">
        <v>75.1</v>
      </c>
      <c r="AE53" s="128"/>
      <c r="AF53" s="96">
        <f>S53+AA53</f>
        <v>6657.9400000000005</v>
      </c>
      <c r="AG53" s="56"/>
      <c r="AH53" s="56">
        <v>2</v>
      </c>
      <c r="AI53" s="56">
        <v>2</v>
      </c>
      <c r="AJ53" s="56">
        <v>1</v>
      </c>
      <c r="AK53" s="56"/>
      <c r="AL53" s="56">
        <v>1</v>
      </c>
      <c r="AM53" s="56">
        <v>4539</v>
      </c>
      <c r="AN53" s="56"/>
      <c r="AO53" s="56">
        <v>249</v>
      </c>
      <c r="AP53" s="131">
        <v>238</v>
      </c>
      <c r="AQ53" s="56">
        <v>76</v>
      </c>
      <c r="AR53" s="56">
        <v>7343</v>
      </c>
      <c r="AS53" s="56"/>
      <c r="AT53" s="56">
        <v>7343</v>
      </c>
      <c r="AU53" s="56">
        <v>3268</v>
      </c>
      <c r="AV53" s="56">
        <v>227</v>
      </c>
      <c r="AW53" s="56">
        <v>1173</v>
      </c>
      <c r="AX53" s="56">
        <v>1173</v>
      </c>
      <c r="AY53" s="56">
        <v>71</v>
      </c>
      <c r="AZ53" s="56">
        <v>54</v>
      </c>
      <c r="BA53" s="56">
        <v>377</v>
      </c>
      <c r="BB53" s="56">
        <v>1097</v>
      </c>
      <c r="BC53" s="56">
        <v>1</v>
      </c>
      <c r="BD53" s="56">
        <v>17000</v>
      </c>
      <c r="BE53" s="56">
        <v>710</v>
      </c>
      <c r="BF53" s="56">
        <v>200</v>
      </c>
      <c r="BG53" s="56"/>
      <c r="BH53" s="56"/>
      <c r="BI53" s="56"/>
      <c r="BJ53" s="56">
        <f>G53</f>
        <v>1</v>
      </c>
      <c r="BK53" s="56">
        <f>S53</f>
        <v>6582.84</v>
      </c>
      <c r="BL53" s="56">
        <f>T53</f>
        <v>4837.3</v>
      </c>
      <c r="BM53" s="56"/>
      <c r="BN53" s="56"/>
      <c r="BO53" s="56"/>
      <c r="BP53" s="56"/>
      <c r="BQ53" s="56"/>
      <c r="BR53" s="56"/>
      <c r="BS53" s="56"/>
      <c r="BT53" s="56"/>
      <c r="BU53" s="56"/>
      <c r="BV53" s="56">
        <f>AI53*85.85</f>
        <v>171.7</v>
      </c>
      <c r="BW53" s="56">
        <f>AI53*50.57</f>
        <v>101.14</v>
      </c>
      <c r="BX53" s="56">
        <f>AI53*1165.39</f>
        <v>2330.78</v>
      </c>
      <c r="BY53" s="56"/>
      <c r="BZ53" s="56"/>
      <c r="CA53" s="56"/>
      <c r="CB53" s="56"/>
      <c r="CC53" s="56"/>
      <c r="CD53" s="132">
        <v>249.44</v>
      </c>
      <c r="CE53" s="132">
        <v>1561.37</v>
      </c>
      <c r="CF53" s="132">
        <v>5.18</v>
      </c>
      <c r="CG53" s="132">
        <v>183.48</v>
      </c>
      <c r="CH53" s="132">
        <v>1142.15</v>
      </c>
      <c r="CI53" s="132"/>
      <c r="CJ53" s="132">
        <v>1174</v>
      </c>
      <c r="CK53" s="98">
        <v>39.1</v>
      </c>
      <c r="CL53" s="115">
        <v>128.35</v>
      </c>
      <c r="CM53" s="58">
        <f>CD53+CE53+CF53+CG53+CH53+CI53+CJ53+CK53+CL53</f>
        <v>4483.070000000001</v>
      </c>
      <c r="CN53" s="46">
        <v>3281</v>
      </c>
      <c r="CO53" s="46">
        <f>CN53-K53</f>
        <v>2073</v>
      </c>
      <c r="CP53" s="56"/>
      <c r="CQ53" s="133"/>
      <c r="CR53" s="133"/>
      <c r="CS53" s="56"/>
      <c r="CT53" s="56"/>
      <c r="CU53" s="14"/>
      <c r="CV53" s="55" t="str">
        <f>IF(CW53&gt;0,G53,"0")</f>
        <v>0</v>
      </c>
      <c r="CW53" s="54">
        <f>AS53</f>
        <v>0</v>
      </c>
      <c r="CX53" s="55">
        <f>IF(CY53&gt;0,G53,"0")</f>
        <v>1</v>
      </c>
      <c r="CY53" s="54">
        <f>AT53</f>
        <v>7343</v>
      </c>
      <c r="CZ53" s="54">
        <f>CV53+CX53</f>
        <v>1</v>
      </c>
      <c r="DA53" s="54">
        <f>CW53+CY53</f>
        <v>7343</v>
      </c>
      <c r="DB53" s="14"/>
      <c r="DC53" s="14"/>
      <c r="DD53" s="14"/>
      <c r="DE53" s="14"/>
      <c r="DF53" s="14"/>
      <c r="DG53" s="14"/>
      <c r="DH53" s="14"/>
      <c r="DI53" s="14"/>
    </row>
    <row r="54" spans="1:113" s="101" customFormat="1" ht="12.75">
      <c r="A54" s="100" t="s">
        <v>129</v>
      </c>
      <c r="B54" s="40">
        <v>48</v>
      </c>
      <c r="C54" s="11" t="s">
        <v>144</v>
      </c>
      <c r="D54" s="124">
        <v>1964</v>
      </c>
      <c r="E54" s="117" t="s">
        <v>155</v>
      </c>
      <c r="F54" s="11" t="s">
        <v>154</v>
      </c>
      <c r="G54" s="56">
        <v>1</v>
      </c>
      <c r="H54" s="125">
        <v>5</v>
      </c>
      <c r="I54" s="117" t="s">
        <v>146</v>
      </c>
      <c r="J54" s="56">
        <f>13100+3225</f>
        <v>16325</v>
      </c>
      <c r="K54" s="56">
        <f>933</f>
        <v>933</v>
      </c>
      <c r="L54" s="56" t="s">
        <v>256</v>
      </c>
      <c r="M54" s="56">
        <f>1054+388</f>
        <v>1442</v>
      </c>
      <c r="N54" s="56"/>
      <c r="O54" s="56">
        <v>145</v>
      </c>
      <c r="P54" s="56">
        <v>155</v>
      </c>
      <c r="Q54" s="56">
        <f>91+17</f>
        <v>108</v>
      </c>
      <c r="R54" s="56">
        <v>97</v>
      </c>
      <c r="S54" s="130">
        <v>2716.68</v>
      </c>
      <c r="T54" s="133">
        <v>1862.51</v>
      </c>
      <c r="U54" s="56">
        <v>27</v>
      </c>
      <c r="V54" s="127">
        <v>556.48</v>
      </c>
      <c r="W54" s="127">
        <v>393.43</v>
      </c>
      <c r="X54" s="56">
        <f>O54-U54</f>
        <v>118</v>
      </c>
      <c r="Y54" s="128">
        <f>S54-V54</f>
        <v>2160.2</v>
      </c>
      <c r="Z54" s="128">
        <f>T54-W54</f>
        <v>1469.08</v>
      </c>
      <c r="AA54" s="129">
        <f>AB54+AE54</f>
        <v>94.7</v>
      </c>
      <c r="AB54" s="130">
        <f>AC54+AD54</f>
        <v>0</v>
      </c>
      <c r="AC54" s="129"/>
      <c r="AD54" s="130">
        <v>0</v>
      </c>
      <c r="AE54" s="128">
        <v>94.7</v>
      </c>
      <c r="AF54" s="96">
        <f>S54+AA54</f>
        <v>2811.3799999999997</v>
      </c>
      <c r="AG54" s="56"/>
      <c r="AH54" s="56"/>
      <c r="AI54" s="56">
        <f>2+1</f>
        <v>3</v>
      </c>
      <c r="AJ54" s="56">
        <f>1</f>
        <v>1</v>
      </c>
      <c r="AK54" s="56"/>
      <c r="AL54" s="56">
        <f>1</f>
        <v>1</v>
      </c>
      <c r="AM54" s="56">
        <f>2404+908</f>
        <v>3312</v>
      </c>
      <c r="AN54" s="56"/>
      <c r="AO54" s="56">
        <f>180+186</f>
        <v>366</v>
      </c>
      <c r="AP54" s="131">
        <f>298+44</f>
        <v>342</v>
      </c>
      <c r="AQ54" s="56">
        <f>529+25</f>
        <v>554</v>
      </c>
      <c r="AR54" s="56">
        <f>2885+800</f>
        <v>3685</v>
      </c>
      <c r="AS54" s="56"/>
      <c r="AT54" s="56">
        <f>2885+800</f>
        <v>3685</v>
      </c>
      <c r="AU54" s="56"/>
      <c r="AV54" s="56">
        <f>135+123</f>
        <v>258</v>
      </c>
      <c r="AW54" s="56">
        <f>668+907</f>
        <v>1575</v>
      </c>
      <c r="AX54" s="56">
        <f>668+907</f>
        <v>1575</v>
      </c>
      <c r="AY54" s="56">
        <f>11+4</f>
        <v>15</v>
      </c>
      <c r="AZ54" s="56">
        <f>8+13</f>
        <v>21</v>
      </c>
      <c r="BA54" s="56">
        <f>138+70</f>
        <v>208</v>
      </c>
      <c r="BB54" s="56">
        <f>461+210</f>
        <v>671</v>
      </c>
      <c r="BC54" s="56">
        <f>0+1</f>
        <v>1</v>
      </c>
      <c r="BD54" s="56">
        <f>2637+650</f>
        <v>3287</v>
      </c>
      <c r="BE54" s="56">
        <f>68+200</f>
        <v>268</v>
      </c>
      <c r="BF54" s="56"/>
      <c r="BG54" s="56">
        <f>G54</f>
        <v>1</v>
      </c>
      <c r="BH54" s="56">
        <f>S54</f>
        <v>2716.68</v>
      </c>
      <c r="BI54" s="56">
        <f>T54</f>
        <v>1862.51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>
        <f>AM54</f>
        <v>3312</v>
      </c>
      <c r="BV54" s="56">
        <f>AI54*66.22</f>
        <v>198.66</v>
      </c>
      <c r="BW54" s="56">
        <f>AI54*24.75</f>
        <v>74.25</v>
      </c>
      <c r="BX54" s="56">
        <f>AI54*248.32</f>
        <v>744.96</v>
      </c>
      <c r="BY54" s="56">
        <v>1</v>
      </c>
      <c r="BZ54" s="56"/>
      <c r="CA54" s="56"/>
      <c r="CB54" s="56"/>
      <c r="CC54" s="56"/>
      <c r="CD54" s="132">
        <f>120+60.22</f>
        <v>180.22</v>
      </c>
      <c r="CE54" s="132">
        <v>498.89000000000004</v>
      </c>
      <c r="CF54" s="132"/>
      <c r="CG54" s="132">
        <v>162.7</v>
      </c>
      <c r="CH54" s="132">
        <f>668+907</f>
        <v>1575</v>
      </c>
      <c r="CI54" s="132"/>
      <c r="CJ54" s="132">
        <f>668+907</f>
        <v>1575</v>
      </c>
      <c r="CK54" s="98">
        <v>20.6</v>
      </c>
      <c r="CL54" s="115"/>
      <c r="CM54" s="58">
        <f>CD54+CE54+CF54+CG54+CH54+CI54+CJ54+CK54+CL54</f>
        <v>4012.41</v>
      </c>
      <c r="CN54" s="46">
        <v>2535</v>
      </c>
      <c r="CO54" s="46">
        <f>CN54-K54</f>
        <v>1602</v>
      </c>
      <c r="CP54" s="56"/>
      <c r="CQ54" s="133"/>
      <c r="CR54" s="133"/>
      <c r="CS54" s="56"/>
      <c r="CT54" s="56"/>
      <c r="CU54" s="14"/>
      <c r="CV54" s="55" t="str">
        <f>IF(CW54&gt;0,G54,"0")</f>
        <v>0</v>
      </c>
      <c r="CW54" s="54">
        <f>AS54</f>
        <v>0</v>
      </c>
      <c r="CX54" s="55">
        <f>IF(CY54&gt;0,G54,"0")</f>
        <v>1</v>
      </c>
      <c r="CY54" s="54">
        <f>AT54</f>
        <v>3685</v>
      </c>
      <c r="CZ54" s="54">
        <f>CV54+CX54</f>
        <v>1</v>
      </c>
      <c r="DA54" s="54">
        <f>CW54+CY54</f>
        <v>3685</v>
      </c>
      <c r="DB54" s="14"/>
      <c r="DC54" s="14"/>
      <c r="DD54" s="14"/>
      <c r="DE54" s="14"/>
      <c r="DF54" s="14"/>
      <c r="DG54" s="14"/>
      <c r="DH54" s="14"/>
      <c r="DI54" s="14"/>
    </row>
    <row r="55" spans="1:113" s="42" customFormat="1" ht="12.75">
      <c r="A55" s="49" t="s">
        <v>129</v>
      </c>
      <c r="B55" s="40">
        <v>49</v>
      </c>
      <c r="C55" s="11" t="s">
        <v>131</v>
      </c>
      <c r="D55" s="124">
        <v>1975</v>
      </c>
      <c r="E55" s="117" t="s">
        <v>155</v>
      </c>
      <c r="F55" s="118" t="s">
        <v>156</v>
      </c>
      <c r="G55" s="56">
        <v>1</v>
      </c>
      <c r="H55" s="125">
        <v>9</v>
      </c>
      <c r="I55" s="117" t="s">
        <v>145</v>
      </c>
      <c r="J55" s="56">
        <v>29316</v>
      </c>
      <c r="K55" s="56">
        <v>1168</v>
      </c>
      <c r="L55" s="56" t="s">
        <v>257</v>
      </c>
      <c r="M55" s="56"/>
      <c r="N55" s="56">
        <v>1273</v>
      </c>
      <c r="O55" s="56">
        <v>342</v>
      </c>
      <c r="P55" s="56">
        <v>342</v>
      </c>
      <c r="Q55" s="56">
        <v>535</v>
      </c>
      <c r="R55" s="56">
        <v>518</v>
      </c>
      <c r="S55" s="126">
        <v>6560.58</v>
      </c>
      <c r="T55" s="126">
        <v>4759.21</v>
      </c>
      <c r="U55" s="56">
        <v>181</v>
      </c>
      <c r="V55" s="127">
        <v>3506.3</v>
      </c>
      <c r="W55" s="127">
        <v>2558.6</v>
      </c>
      <c r="X55" s="56">
        <f>O55-U55</f>
        <v>161</v>
      </c>
      <c r="Y55" s="128">
        <f>S55-V55</f>
        <v>3054.2799999999997</v>
      </c>
      <c r="Z55" s="128">
        <f>T55-W55</f>
        <v>2200.61</v>
      </c>
      <c r="AA55" s="129">
        <f>AB55+AE55</f>
        <v>91.8</v>
      </c>
      <c r="AB55" s="130">
        <f>AC55+AD55</f>
        <v>91.8</v>
      </c>
      <c r="AC55" s="129"/>
      <c r="AD55" s="130">
        <v>91.8</v>
      </c>
      <c r="AE55" s="128"/>
      <c r="AF55" s="96">
        <f>S55+AA55</f>
        <v>6652.38</v>
      </c>
      <c r="AG55" s="56"/>
      <c r="AH55" s="56">
        <v>2</v>
      </c>
      <c r="AI55" s="56">
        <v>2</v>
      </c>
      <c r="AJ55" s="56">
        <v>1</v>
      </c>
      <c r="AK55" s="56"/>
      <c r="AL55" s="56">
        <v>1</v>
      </c>
      <c r="AM55" s="56">
        <v>4591</v>
      </c>
      <c r="AN55" s="56"/>
      <c r="AO55" s="56">
        <v>480</v>
      </c>
      <c r="AP55" s="131">
        <v>274</v>
      </c>
      <c r="AQ55" s="56">
        <v>76</v>
      </c>
      <c r="AR55" s="56">
        <v>7124</v>
      </c>
      <c r="AS55" s="56"/>
      <c r="AT55" s="56">
        <v>7124</v>
      </c>
      <c r="AU55" s="56">
        <v>3284</v>
      </c>
      <c r="AV55" s="56">
        <v>194</v>
      </c>
      <c r="AW55" s="56">
        <v>1168</v>
      </c>
      <c r="AX55" s="56">
        <v>1168</v>
      </c>
      <c r="AY55" s="56">
        <v>71</v>
      </c>
      <c r="AZ55" s="56">
        <v>54</v>
      </c>
      <c r="BA55" s="56">
        <v>378</v>
      </c>
      <c r="BB55" s="56">
        <v>1097</v>
      </c>
      <c r="BC55" s="56">
        <v>1</v>
      </c>
      <c r="BD55" s="56">
        <v>17000</v>
      </c>
      <c r="BE55" s="56">
        <v>710</v>
      </c>
      <c r="BF55" s="56">
        <v>200</v>
      </c>
      <c r="BG55" s="56"/>
      <c r="BH55" s="56"/>
      <c r="BI55" s="56"/>
      <c r="BJ55" s="56">
        <f>G55</f>
        <v>1</v>
      </c>
      <c r="BK55" s="56">
        <f>S55</f>
        <v>6560.58</v>
      </c>
      <c r="BL55" s="56">
        <f>T55</f>
        <v>4759.21</v>
      </c>
      <c r="BM55" s="56"/>
      <c r="BN55" s="56"/>
      <c r="BO55" s="56"/>
      <c r="BP55" s="56"/>
      <c r="BQ55" s="56"/>
      <c r="BR55" s="56"/>
      <c r="BS55" s="56"/>
      <c r="BT55" s="56"/>
      <c r="BU55" s="56"/>
      <c r="BV55" s="56">
        <f>AI55*85.85</f>
        <v>171.7</v>
      </c>
      <c r="BW55" s="56">
        <f>AI55*50.57</f>
        <v>101.14</v>
      </c>
      <c r="BX55" s="56">
        <f>AI55*1165.39</f>
        <v>2330.78</v>
      </c>
      <c r="BY55" s="56"/>
      <c r="BZ55" s="56"/>
      <c r="CA55" s="56"/>
      <c r="CB55" s="56"/>
      <c r="CC55" s="56"/>
      <c r="CD55" s="132">
        <v>258.5</v>
      </c>
      <c r="CE55" s="132">
        <v>1544.52</v>
      </c>
      <c r="CF55" s="132">
        <v>5.7</v>
      </c>
      <c r="CG55" s="132">
        <v>247.3</v>
      </c>
      <c r="CH55" s="132"/>
      <c r="CI55" s="132"/>
      <c r="CJ55" s="132">
        <v>1168</v>
      </c>
      <c r="CK55" s="98">
        <v>34</v>
      </c>
      <c r="CL55" s="115">
        <v>158.5</v>
      </c>
      <c r="CM55" s="58">
        <f>CD55+CE55+CF55+CG55+CH55+CI55+CJ55+CK55+CL55</f>
        <v>3416.52</v>
      </c>
      <c r="CN55" s="46">
        <v>2519</v>
      </c>
      <c r="CO55" s="46">
        <f>CN55-K55</f>
        <v>1351</v>
      </c>
      <c r="CP55" s="56"/>
      <c r="CQ55" s="133"/>
      <c r="CR55" s="133"/>
      <c r="CS55" s="56"/>
      <c r="CT55" s="56"/>
      <c r="CU55" s="14"/>
      <c r="CV55" s="55" t="str">
        <f>IF(CW55&gt;0,G55,"0")</f>
        <v>0</v>
      </c>
      <c r="CW55" s="54">
        <f>AS55</f>
        <v>0</v>
      </c>
      <c r="CX55" s="55">
        <f>IF(CY55&gt;0,G55,"0")</f>
        <v>1</v>
      </c>
      <c r="CY55" s="54">
        <f>AT55</f>
        <v>7124</v>
      </c>
      <c r="CZ55" s="54">
        <f>CV55+CX55</f>
        <v>1</v>
      </c>
      <c r="DA55" s="54">
        <f>CW55+CY55</f>
        <v>7124</v>
      </c>
      <c r="DB55" s="14"/>
      <c r="DC55" s="14"/>
      <c r="DD55" s="14"/>
      <c r="DE55" s="14"/>
      <c r="DF55" s="14"/>
      <c r="DG55" s="14"/>
      <c r="DH55" s="14"/>
      <c r="DI55" s="14"/>
    </row>
    <row r="56" spans="1:113" s="42" customFormat="1" ht="12.75">
      <c r="A56" s="49" t="s">
        <v>129</v>
      </c>
      <c r="B56" s="40">
        <v>50</v>
      </c>
      <c r="C56" s="11" t="s">
        <v>139</v>
      </c>
      <c r="D56" s="124">
        <v>1975</v>
      </c>
      <c r="E56" s="117" t="s">
        <v>155</v>
      </c>
      <c r="F56" s="118" t="s">
        <v>156</v>
      </c>
      <c r="G56" s="56">
        <v>1</v>
      </c>
      <c r="H56" s="125">
        <v>9</v>
      </c>
      <c r="I56" s="117" t="s">
        <v>145</v>
      </c>
      <c r="J56" s="56">
        <v>29359</v>
      </c>
      <c r="K56" s="56">
        <v>1208</v>
      </c>
      <c r="L56" s="56" t="s">
        <v>258</v>
      </c>
      <c r="M56" s="56"/>
      <c r="N56" s="56">
        <v>1218</v>
      </c>
      <c r="O56" s="56">
        <v>326</v>
      </c>
      <c r="P56" s="56">
        <v>326</v>
      </c>
      <c r="Q56" s="56">
        <v>200</v>
      </c>
      <c r="R56" s="56">
        <v>0</v>
      </c>
      <c r="S56" s="133">
        <v>6194.06</v>
      </c>
      <c r="T56" s="133">
        <v>4496.61</v>
      </c>
      <c r="U56" s="56">
        <v>47</v>
      </c>
      <c r="V56" s="127">
        <v>899.84</v>
      </c>
      <c r="W56" s="127">
        <v>659.74</v>
      </c>
      <c r="X56" s="56">
        <f>O56-U56</f>
        <v>279</v>
      </c>
      <c r="Y56" s="128">
        <f>S56-V56</f>
        <v>5294.22</v>
      </c>
      <c r="Z56" s="128">
        <f>T56-W56</f>
        <v>3836.87</v>
      </c>
      <c r="AA56" s="129">
        <f>AB56+AE56</f>
        <v>119.19</v>
      </c>
      <c r="AB56" s="130">
        <f>AC56+AD56</f>
        <v>119.19</v>
      </c>
      <c r="AC56" s="129"/>
      <c r="AD56" s="130">
        <v>119.19</v>
      </c>
      <c r="AE56" s="128"/>
      <c r="AF56" s="96">
        <f>S56+AA56</f>
        <v>6313.25</v>
      </c>
      <c r="AG56" s="56"/>
      <c r="AH56" s="56">
        <v>2</v>
      </c>
      <c r="AI56" s="56">
        <v>2</v>
      </c>
      <c r="AJ56" s="56">
        <v>1</v>
      </c>
      <c r="AK56" s="56"/>
      <c r="AL56" s="56">
        <v>1</v>
      </c>
      <c r="AM56" s="56">
        <v>3339</v>
      </c>
      <c r="AN56" s="56"/>
      <c r="AO56" s="56">
        <v>390</v>
      </c>
      <c r="AP56" s="131">
        <v>229</v>
      </c>
      <c r="AQ56" s="56">
        <v>1305</v>
      </c>
      <c r="AR56" s="56">
        <v>9331</v>
      </c>
      <c r="AS56" s="56"/>
      <c r="AT56" s="56">
        <v>9331</v>
      </c>
      <c r="AU56" s="56">
        <v>3284</v>
      </c>
      <c r="AV56" s="56">
        <v>226</v>
      </c>
      <c r="AW56" s="56">
        <v>1160</v>
      </c>
      <c r="AX56" s="56">
        <v>1160</v>
      </c>
      <c r="AY56" s="56">
        <v>68</v>
      </c>
      <c r="AZ56" s="56">
        <v>87</v>
      </c>
      <c r="BA56" s="56">
        <v>377</v>
      </c>
      <c r="BB56" s="56">
        <v>1020</v>
      </c>
      <c r="BC56" s="56">
        <v>1</v>
      </c>
      <c r="BD56" s="56">
        <v>8789</v>
      </c>
      <c r="BE56" s="56">
        <v>225</v>
      </c>
      <c r="BF56" s="56">
        <v>200</v>
      </c>
      <c r="BG56" s="56"/>
      <c r="BH56" s="56"/>
      <c r="BI56" s="56"/>
      <c r="BJ56" s="56">
        <f>G56</f>
        <v>1</v>
      </c>
      <c r="BK56" s="56">
        <f>S56</f>
        <v>6194.06</v>
      </c>
      <c r="BL56" s="56">
        <f>T56</f>
        <v>4496.61</v>
      </c>
      <c r="BM56" s="56"/>
      <c r="BN56" s="56"/>
      <c r="BO56" s="56"/>
      <c r="BP56" s="56"/>
      <c r="BQ56" s="56"/>
      <c r="BR56" s="56"/>
      <c r="BS56" s="56"/>
      <c r="BT56" s="56">
        <v>64</v>
      </c>
      <c r="BU56" s="56"/>
      <c r="BV56" s="56">
        <f>AI56*85.85</f>
        <v>171.7</v>
      </c>
      <c r="BW56" s="56">
        <f>AI56*50.57</f>
        <v>101.14</v>
      </c>
      <c r="BX56" s="56">
        <f>AI56*1165.39</f>
        <v>2330.78</v>
      </c>
      <c r="BY56" s="56"/>
      <c r="BZ56" s="56"/>
      <c r="CA56" s="56"/>
      <c r="CB56" s="56"/>
      <c r="CC56" s="56"/>
      <c r="CD56" s="132">
        <v>250.54</v>
      </c>
      <c r="CE56" s="132">
        <v>1761.56</v>
      </c>
      <c r="CF56" s="132">
        <v>5.5</v>
      </c>
      <c r="CG56" s="132">
        <v>357.93</v>
      </c>
      <c r="CH56" s="132"/>
      <c r="CI56" s="132"/>
      <c r="CJ56" s="132">
        <v>1160</v>
      </c>
      <c r="CK56" s="98">
        <v>38.9</v>
      </c>
      <c r="CL56" s="115">
        <v>165.38</v>
      </c>
      <c r="CM56" s="58">
        <f>CD56+CE56+CF56+CG56+CH56+CI56+CJ56+CK56+CL56</f>
        <v>3739.81</v>
      </c>
      <c r="CN56" s="46">
        <v>3311</v>
      </c>
      <c r="CO56" s="46">
        <f>CN56-K56</f>
        <v>2103</v>
      </c>
      <c r="CP56" s="56"/>
      <c r="CQ56" s="133"/>
      <c r="CR56" s="133"/>
      <c r="CS56" s="56"/>
      <c r="CT56" s="56"/>
      <c r="CU56" s="14"/>
      <c r="CV56" s="55" t="str">
        <f>IF(CW56&gt;0,G56,"0")</f>
        <v>0</v>
      </c>
      <c r="CW56" s="54">
        <f>AS56</f>
        <v>0</v>
      </c>
      <c r="CX56" s="55">
        <f>IF(CY56&gt;0,G56,"0")</f>
        <v>1</v>
      </c>
      <c r="CY56" s="54">
        <f>AT56</f>
        <v>9331</v>
      </c>
      <c r="CZ56" s="54">
        <f>CV56+CX56</f>
        <v>1</v>
      </c>
      <c r="DA56" s="54">
        <f>CW56+CY56</f>
        <v>9331</v>
      </c>
      <c r="DB56" s="14"/>
      <c r="DC56" s="14"/>
      <c r="DD56" s="14"/>
      <c r="DE56" s="14"/>
      <c r="DF56" s="14"/>
      <c r="DG56" s="14"/>
      <c r="DH56" s="14"/>
      <c r="DI56" s="14"/>
    </row>
    <row r="57" spans="1:113" s="42" customFormat="1" ht="12.75">
      <c r="A57" s="49" t="s">
        <v>129</v>
      </c>
      <c r="B57" s="40">
        <v>51</v>
      </c>
      <c r="C57" s="11" t="s">
        <v>141</v>
      </c>
      <c r="D57" s="124">
        <v>1975</v>
      </c>
      <c r="E57" s="117" t="s">
        <v>155</v>
      </c>
      <c r="F57" s="118" t="s">
        <v>156</v>
      </c>
      <c r="G57" s="56">
        <v>1</v>
      </c>
      <c r="H57" s="125">
        <v>9</v>
      </c>
      <c r="I57" s="117" t="s">
        <v>145</v>
      </c>
      <c r="J57" s="56">
        <v>29680</v>
      </c>
      <c r="K57" s="56">
        <v>1226</v>
      </c>
      <c r="L57" s="56" t="s">
        <v>259</v>
      </c>
      <c r="M57" s="56"/>
      <c r="N57" s="56">
        <v>1246</v>
      </c>
      <c r="O57" s="56">
        <v>335</v>
      </c>
      <c r="P57" s="56">
        <v>335</v>
      </c>
      <c r="Q57" s="56">
        <v>481</v>
      </c>
      <c r="R57" s="56">
        <v>476</v>
      </c>
      <c r="S57" s="133">
        <v>6413.94</v>
      </c>
      <c r="T57" s="133">
        <v>4648.9</v>
      </c>
      <c r="U57" s="56">
        <v>98</v>
      </c>
      <c r="V57" s="127">
        <v>1916.36</v>
      </c>
      <c r="W57" s="127">
        <v>1399.2</v>
      </c>
      <c r="X57" s="56">
        <f>O57-U57</f>
        <v>237</v>
      </c>
      <c r="Y57" s="128">
        <f>S57-V57</f>
        <v>4497.58</v>
      </c>
      <c r="Z57" s="128">
        <f>T57-W57</f>
        <v>3249.7</v>
      </c>
      <c r="AA57" s="129">
        <f>AB57+AE57</f>
        <v>170.79</v>
      </c>
      <c r="AB57" s="130">
        <f>AC57+AD57</f>
        <v>170.79</v>
      </c>
      <c r="AC57" s="129"/>
      <c r="AD57" s="130">
        <v>170.79</v>
      </c>
      <c r="AE57" s="128"/>
      <c r="AF57" s="96">
        <f>S57+AA57</f>
        <v>6584.73</v>
      </c>
      <c r="AG57" s="56"/>
      <c r="AH57" s="56">
        <v>2</v>
      </c>
      <c r="AI57" s="56">
        <v>2</v>
      </c>
      <c r="AJ57" s="56">
        <v>1</v>
      </c>
      <c r="AK57" s="56"/>
      <c r="AL57" s="56">
        <v>1</v>
      </c>
      <c r="AM57" s="56">
        <v>3339</v>
      </c>
      <c r="AN57" s="56"/>
      <c r="AO57" s="56">
        <v>498</v>
      </c>
      <c r="AP57" s="131">
        <v>295</v>
      </c>
      <c r="AQ57" s="56">
        <v>1305</v>
      </c>
      <c r="AR57" s="56">
        <v>9331</v>
      </c>
      <c r="AS57" s="56"/>
      <c r="AT57" s="56">
        <v>9331</v>
      </c>
      <c r="AU57" s="56">
        <v>3292</v>
      </c>
      <c r="AV57" s="56">
        <v>224</v>
      </c>
      <c r="AW57" s="56">
        <v>1186</v>
      </c>
      <c r="AX57" s="56">
        <v>1186</v>
      </c>
      <c r="AY57" s="56">
        <v>54</v>
      </c>
      <c r="AZ57" s="56">
        <v>86</v>
      </c>
      <c r="BA57" s="56">
        <v>378</v>
      </c>
      <c r="BB57" s="56">
        <v>1090</v>
      </c>
      <c r="BC57" s="56">
        <v>1</v>
      </c>
      <c r="BD57" s="56">
        <v>8789</v>
      </c>
      <c r="BE57" s="56">
        <v>225</v>
      </c>
      <c r="BF57" s="56">
        <v>200</v>
      </c>
      <c r="BG57" s="56"/>
      <c r="BH57" s="56"/>
      <c r="BI57" s="56"/>
      <c r="BJ57" s="56">
        <f>G57</f>
        <v>1</v>
      </c>
      <c r="BK57" s="56">
        <f>S57</f>
        <v>6413.94</v>
      </c>
      <c r="BL57" s="56">
        <f>T57</f>
        <v>4648.9</v>
      </c>
      <c r="BM57" s="56"/>
      <c r="BN57" s="56"/>
      <c r="BO57" s="56"/>
      <c r="BP57" s="56"/>
      <c r="BQ57" s="56">
        <v>1</v>
      </c>
      <c r="BR57" s="56"/>
      <c r="BS57" s="56"/>
      <c r="BT57" s="56">
        <v>20</v>
      </c>
      <c r="BU57" s="56"/>
      <c r="BV57" s="56">
        <f>AI57*85.85</f>
        <v>171.7</v>
      </c>
      <c r="BW57" s="56">
        <f>AI57*50.57</f>
        <v>101.14</v>
      </c>
      <c r="BX57" s="56">
        <f>AI57*1165.39</f>
        <v>2330.78</v>
      </c>
      <c r="BY57" s="56"/>
      <c r="BZ57" s="56"/>
      <c r="CA57" s="56"/>
      <c r="CB57" s="56"/>
      <c r="CC57" s="56"/>
      <c r="CD57" s="132">
        <v>258.05</v>
      </c>
      <c r="CE57" s="132">
        <v>1744.48</v>
      </c>
      <c r="CF57" s="132">
        <v>5.1</v>
      </c>
      <c r="CG57" s="132">
        <v>320.67</v>
      </c>
      <c r="CH57" s="132"/>
      <c r="CI57" s="132"/>
      <c r="CJ57" s="132">
        <v>1186</v>
      </c>
      <c r="CK57" s="98">
        <v>27.6</v>
      </c>
      <c r="CL57" s="115">
        <v>149.46</v>
      </c>
      <c r="CM57" s="58">
        <f>CD57+CE57+CF57+CG57+CH57+CI57+CJ57+CK57+CL57</f>
        <v>3691.3599999999997</v>
      </c>
      <c r="CN57" s="46">
        <v>3741</v>
      </c>
      <c r="CO57" s="46">
        <f>CN57-K57</f>
        <v>2515</v>
      </c>
      <c r="CP57" s="56"/>
      <c r="CQ57" s="133"/>
      <c r="CR57" s="133"/>
      <c r="CS57" s="56"/>
      <c r="CT57" s="56"/>
      <c r="CU57" s="14"/>
      <c r="CV57" s="55" t="str">
        <f>IF(CW57&gt;0,G57,"0")</f>
        <v>0</v>
      </c>
      <c r="CW57" s="54">
        <f>AS57</f>
        <v>0</v>
      </c>
      <c r="CX57" s="55">
        <f>IF(CY57&gt;0,G57,"0")</f>
        <v>1</v>
      </c>
      <c r="CY57" s="54">
        <f>AT57</f>
        <v>9331</v>
      </c>
      <c r="CZ57" s="54">
        <f>CV57+CX57</f>
        <v>1</v>
      </c>
      <c r="DA57" s="54">
        <f>CW57+CY57</f>
        <v>9331</v>
      </c>
      <c r="DB57" s="14"/>
      <c r="DC57" s="14"/>
      <c r="DD57" s="14"/>
      <c r="DE57" s="14"/>
      <c r="DF57" s="14"/>
      <c r="DG57" s="14"/>
      <c r="DH57" s="14"/>
      <c r="DI57" s="14"/>
    </row>
    <row r="58" spans="1:113" s="42" customFormat="1" ht="12.75">
      <c r="A58" s="49" t="s">
        <v>129</v>
      </c>
      <c r="B58" s="40">
        <v>52</v>
      </c>
      <c r="C58" s="11" t="s">
        <v>135</v>
      </c>
      <c r="D58" s="124">
        <v>1974</v>
      </c>
      <c r="E58" s="117" t="s">
        <v>155</v>
      </c>
      <c r="F58" s="118" t="s">
        <v>156</v>
      </c>
      <c r="G58" s="56">
        <v>1</v>
      </c>
      <c r="H58" s="125">
        <v>9</v>
      </c>
      <c r="I58" s="117" t="s">
        <v>145</v>
      </c>
      <c r="J58" s="56">
        <v>29548</v>
      </c>
      <c r="K58" s="56">
        <v>1244</v>
      </c>
      <c r="L58" s="56" t="s">
        <v>260</v>
      </c>
      <c r="M58" s="56">
        <v>1417</v>
      </c>
      <c r="N58" s="56"/>
      <c r="O58" s="56">
        <v>352</v>
      </c>
      <c r="P58" s="56">
        <v>352</v>
      </c>
      <c r="Q58" s="56">
        <v>558</v>
      </c>
      <c r="R58" s="56">
        <v>563</v>
      </c>
      <c r="S58" s="133">
        <v>6721.74</v>
      </c>
      <c r="T58" s="133">
        <v>5091.4</v>
      </c>
      <c r="U58" s="56">
        <v>131</v>
      </c>
      <c r="V58" s="127">
        <v>2511.55</v>
      </c>
      <c r="W58" s="127">
        <v>1903.89</v>
      </c>
      <c r="X58" s="56">
        <f>O58-U58</f>
        <v>221</v>
      </c>
      <c r="Y58" s="128">
        <f>S58-V58</f>
        <v>4210.19</v>
      </c>
      <c r="Z58" s="128">
        <f>T58-W58</f>
        <v>3187.5099999999993</v>
      </c>
      <c r="AA58" s="129">
        <f>AB58+AE58</f>
        <v>93.63</v>
      </c>
      <c r="AB58" s="130">
        <f>AC58+AD58</f>
        <v>93.63</v>
      </c>
      <c r="AC58" s="129"/>
      <c r="AD58" s="130">
        <v>93.63</v>
      </c>
      <c r="AE58" s="128"/>
      <c r="AF58" s="96">
        <f>S58+AA58</f>
        <v>6815.37</v>
      </c>
      <c r="AG58" s="56"/>
      <c r="AH58" s="56">
        <v>2</v>
      </c>
      <c r="AI58" s="56">
        <v>2</v>
      </c>
      <c r="AJ58" s="56">
        <v>1</v>
      </c>
      <c r="AK58" s="56"/>
      <c r="AL58" s="56">
        <v>1</v>
      </c>
      <c r="AM58" s="56">
        <v>3328</v>
      </c>
      <c r="AN58" s="56"/>
      <c r="AO58" s="56">
        <v>240</v>
      </c>
      <c r="AP58" s="131">
        <v>358</v>
      </c>
      <c r="AQ58" s="56">
        <v>1305</v>
      </c>
      <c r="AR58" s="56">
        <v>9331</v>
      </c>
      <c r="AS58" s="56"/>
      <c r="AT58" s="56">
        <v>9331</v>
      </c>
      <c r="AU58" s="56">
        <v>3293</v>
      </c>
      <c r="AV58" s="56">
        <v>228</v>
      </c>
      <c r="AW58" s="56">
        <v>1177</v>
      </c>
      <c r="AX58" s="56">
        <v>1177</v>
      </c>
      <c r="AY58" s="56">
        <v>60</v>
      </c>
      <c r="AZ58" s="56">
        <v>88</v>
      </c>
      <c r="BA58" s="56">
        <v>387</v>
      </c>
      <c r="BB58" s="56">
        <v>1113</v>
      </c>
      <c r="BC58" s="56">
        <v>1</v>
      </c>
      <c r="BD58" s="56">
        <v>8789</v>
      </c>
      <c r="BE58" s="56">
        <v>225</v>
      </c>
      <c r="BF58" s="56">
        <v>200</v>
      </c>
      <c r="BG58" s="56"/>
      <c r="BH58" s="56"/>
      <c r="BI58" s="56"/>
      <c r="BJ58" s="56">
        <f>G58</f>
        <v>1</v>
      </c>
      <c r="BK58" s="56">
        <f>S58</f>
        <v>6721.74</v>
      </c>
      <c r="BL58" s="56">
        <f>T58</f>
        <v>5091.4</v>
      </c>
      <c r="BM58" s="56"/>
      <c r="BN58" s="56"/>
      <c r="BO58" s="56"/>
      <c r="BP58" s="56"/>
      <c r="BQ58" s="56"/>
      <c r="BR58" s="56"/>
      <c r="BS58" s="56"/>
      <c r="BT58" s="56"/>
      <c r="BU58" s="56"/>
      <c r="BV58" s="56">
        <f>AI58*85.85</f>
        <v>171.7</v>
      </c>
      <c r="BW58" s="56">
        <f>AI58*50.57</f>
        <v>101.14</v>
      </c>
      <c r="BX58" s="56">
        <f>AI58*1165.39</f>
        <v>2330.78</v>
      </c>
      <c r="BY58" s="56"/>
      <c r="BZ58" s="56"/>
      <c r="CA58" s="56"/>
      <c r="CB58" s="56"/>
      <c r="CC58" s="56"/>
      <c r="CD58" s="132">
        <v>264.94</v>
      </c>
      <c r="CE58" s="132">
        <v>1648</v>
      </c>
      <c r="CF58" s="132"/>
      <c r="CG58" s="132">
        <v>263.06</v>
      </c>
      <c r="CH58" s="132">
        <v>1177</v>
      </c>
      <c r="CI58" s="132"/>
      <c r="CJ58" s="132">
        <v>1177</v>
      </c>
      <c r="CK58" s="98">
        <v>22.4</v>
      </c>
      <c r="CL58" s="98">
        <v>159</v>
      </c>
      <c r="CM58" s="58">
        <f>CD58+CE58+CF58+CG58+CH58+CI58+CJ58+CK58+CL58</f>
        <v>4711.4</v>
      </c>
      <c r="CN58" s="46">
        <v>2483</v>
      </c>
      <c r="CO58" s="46">
        <f>CN58-K58</f>
        <v>1239</v>
      </c>
      <c r="CP58" s="56"/>
      <c r="CQ58" s="133"/>
      <c r="CR58" s="133"/>
      <c r="CS58" s="56"/>
      <c r="CT58" s="56"/>
      <c r="CU58" s="14"/>
      <c r="CV58" s="55" t="str">
        <f>IF(CW58&gt;0,G58,"0")</f>
        <v>0</v>
      </c>
      <c r="CW58" s="54">
        <f>AS58</f>
        <v>0</v>
      </c>
      <c r="CX58" s="55">
        <f>IF(CY58&gt;0,G58,"0")</f>
        <v>1</v>
      </c>
      <c r="CY58" s="54">
        <f>AT58</f>
        <v>9331</v>
      </c>
      <c r="CZ58" s="54">
        <f>CV58+CX58</f>
        <v>1</v>
      </c>
      <c r="DA58" s="54">
        <f>CW58+CY58</f>
        <v>9331</v>
      </c>
      <c r="DB58" s="14"/>
      <c r="DC58" s="14"/>
      <c r="DD58" s="14"/>
      <c r="DE58" s="14"/>
      <c r="DF58" s="14"/>
      <c r="DG58" s="14"/>
      <c r="DH58" s="14"/>
      <c r="DI58" s="14"/>
    </row>
    <row r="59" spans="1:113" s="42" customFormat="1" ht="12.75">
      <c r="A59" s="49" t="s">
        <v>129</v>
      </c>
      <c r="B59" s="40">
        <v>53</v>
      </c>
      <c r="C59" s="11" t="s">
        <v>136</v>
      </c>
      <c r="D59" s="124">
        <v>1970</v>
      </c>
      <c r="E59" s="117" t="s">
        <v>155</v>
      </c>
      <c r="F59" s="118" t="s">
        <v>156</v>
      </c>
      <c r="G59" s="56">
        <v>1</v>
      </c>
      <c r="H59" s="125">
        <v>9</v>
      </c>
      <c r="I59" s="117" t="s">
        <v>145</v>
      </c>
      <c r="J59" s="56">
        <v>28839</v>
      </c>
      <c r="K59" s="56">
        <v>1207</v>
      </c>
      <c r="L59" s="56" t="s">
        <v>261</v>
      </c>
      <c r="M59" s="56"/>
      <c r="N59" s="56">
        <v>1201</v>
      </c>
      <c r="O59" s="56">
        <v>352</v>
      </c>
      <c r="P59" s="56">
        <v>352</v>
      </c>
      <c r="Q59" s="56">
        <v>200</v>
      </c>
      <c r="R59" s="56">
        <v>629</v>
      </c>
      <c r="S59" s="133">
        <v>6722.6</v>
      </c>
      <c r="T59" s="133">
        <v>4861.1</v>
      </c>
      <c r="U59" s="56">
        <v>163</v>
      </c>
      <c r="V59" s="127">
        <v>3160.78</v>
      </c>
      <c r="W59" s="127">
        <v>2284.63</v>
      </c>
      <c r="X59" s="56">
        <f>O59-U59</f>
        <v>189</v>
      </c>
      <c r="Y59" s="128">
        <f>S59-V59</f>
        <v>3561.82</v>
      </c>
      <c r="Z59" s="128">
        <f>T59-W59</f>
        <v>2576.4700000000003</v>
      </c>
      <c r="AA59" s="129">
        <f>AB59+AE59</f>
        <v>126.74</v>
      </c>
      <c r="AB59" s="130">
        <f>AC59+AD59</f>
        <v>126.74</v>
      </c>
      <c r="AC59" s="129"/>
      <c r="AD59" s="130">
        <v>126.74</v>
      </c>
      <c r="AE59" s="128"/>
      <c r="AF59" s="96">
        <f>S59+AA59</f>
        <v>6849.34</v>
      </c>
      <c r="AG59" s="56"/>
      <c r="AH59" s="56">
        <v>2</v>
      </c>
      <c r="AI59" s="56">
        <v>2</v>
      </c>
      <c r="AJ59" s="56">
        <v>1</v>
      </c>
      <c r="AK59" s="56"/>
      <c r="AL59" s="56">
        <v>1</v>
      </c>
      <c r="AM59" s="56">
        <v>3339</v>
      </c>
      <c r="AN59" s="56"/>
      <c r="AO59" s="56">
        <v>381</v>
      </c>
      <c r="AP59" s="131">
        <v>258</v>
      </c>
      <c r="AQ59" s="56">
        <v>1305</v>
      </c>
      <c r="AR59" s="56">
        <v>9331</v>
      </c>
      <c r="AS59" s="56"/>
      <c r="AT59" s="56">
        <v>9331</v>
      </c>
      <c r="AU59" s="56">
        <v>3265</v>
      </c>
      <c r="AV59" s="56">
        <v>225</v>
      </c>
      <c r="AW59" s="56">
        <v>1166</v>
      </c>
      <c r="AX59" s="56">
        <v>1166</v>
      </c>
      <c r="AY59" s="56">
        <v>62</v>
      </c>
      <c r="AZ59" s="56">
        <v>54</v>
      </c>
      <c r="BA59" s="56">
        <v>402</v>
      </c>
      <c r="BB59" s="56">
        <v>1120</v>
      </c>
      <c r="BC59" s="56">
        <v>1</v>
      </c>
      <c r="BD59" s="56">
        <v>8789</v>
      </c>
      <c r="BE59" s="56">
        <v>225</v>
      </c>
      <c r="BF59" s="56">
        <v>200</v>
      </c>
      <c r="BG59" s="56"/>
      <c r="BH59" s="56"/>
      <c r="BI59" s="56"/>
      <c r="BJ59" s="56">
        <f>G59</f>
        <v>1</v>
      </c>
      <c r="BK59" s="56">
        <f>S59</f>
        <v>6722.6</v>
      </c>
      <c r="BL59" s="56">
        <f>T59</f>
        <v>4861.1</v>
      </c>
      <c r="BM59" s="56"/>
      <c r="BN59" s="56"/>
      <c r="BO59" s="56"/>
      <c r="BP59" s="56"/>
      <c r="BQ59" s="56">
        <v>1</v>
      </c>
      <c r="BR59" s="56"/>
      <c r="BS59" s="56"/>
      <c r="BT59" s="56"/>
      <c r="BU59" s="56"/>
      <c r="BV59" s="56">
        <f>AI59*85.85</f>
        <v>171.7</v>
      </c>
      <c r="BW59" s="56">
        <f>AI59*50.57</f>
        <v>101.14</v>
      </c>
      <c r="BX59" s="56">
        <f>AI59*1165.39</f>
        <v>2330.78</v>
      </c>
      <c r="BY59" s="56"/>
      <c r="BZ59" s="56"/>
      <c r="CA59" s="56"/>
      <c r="CB59" s="56"/>
      <c r="CC59" s="56"/>
      <c r="CD59" s="132">
        <v>247.66</v>
      </c>
      <c r="CE59" s="132">
        <v>1612.91</v>
      </c>
      <c r="CF59" s="132">
        <v>5.05</v>
      </c>
      <c r="CG59" s="132">
        <v>157.4</v>
      </c>
      <c r="CH59" s="132"/>
      <c r="CI59" s="132"/>
      <c r="CJ59" s="132">
        <v>1166</v>
      </c>
      <c r="CK59" s="98">
        <v>45.4</v>
      </c>
      <c r="CL59" s="115">
        <v>162.61</v>
      </c>
      <c r="CM59" s="58">
        <f>CD59+CE59+CF59+CG59+CH59+CI59+CJ59+CK59+CL59</f>
        <v>3397.0300000000007</v>
      </c>
      <c r="CN59" s="46">
        <v>2472</v>
      </c>
      <c r="CO59" s="46">
        <f>CN59-K59</f>
        <v>1265</v>
      </c>
      <c r="CP59" s="56"/>
      <c r="CQ59" s="133"/>
      <c r="CR59" s="133"/>
      <c r="CS59" s="56"/>
      <c r="CT59" s="56"/>
      <c r="CU59" s="14"/>
      <c r="CV59" s="55" t="str">
        <f>IF(CW59&gt;0,G59,"0")</f>
        <v>0</v>
      </c>
      <c r="CW59" s="54">
        <f>AS59</f>
        <v>0</v>
      </c>
      <c r="CX59" s="55">
        <f>IF(CY59&gt;0,G59,"0")</f>
        <v>1</v>
      </c>
      <c r="CY59" s="54">
        <f>AT59</f>
        <v>9331</v>
      </c>
      <c r="CZ59" s="54">
        <f>CV59+CX59</f>
        <v>1</v>
      </c>
      <c r="DA59" s="54">
        <f>CW59+CY59</f>
        <v>9331</v>
      </c>
      <c r="DB59" s="14"/>
      <c r="DC59" s="14"/>
      <c r="DD59" s="14"/>
      <c r="DE59" s="14"/>
      <c r="DF59" s="14"/>
      <c r="DG59" s="14"/>
      <c r="DH59" s="14"/>
      <c r="DI59" s="14"/>
    </row>
    <row r="60" spans="1:113" s="42" customFormat="1" ht="12.75">
      <c r="A60" s="49" t="s">
        <v>129</v>
      </c>
      <c r="B60" s="40">
        <v>54</v>
      </c>
      <c r="C60" s="11" t="s">
        <v>137</v>
      </c>
      <c r="D60" s="124">
        <v>1971</v>
      </c>
      <c r="E60" s="117" t="s">
        <v>155</v>
      </c>
      <c r="F60" s="118" t="s">
        <v>156</v>
      </c>
      <c r="G60" s="56">
        <v>1</v>
      </c>
      <c r="H60" s="125">
        <v>9</v>
      </c>
      <c r="I60" s="117" t="s">
        <v>145</v>
      </c>
      <c r="J60" s="56">
        <v>28983</v>
      </c>
      <c r="K60" s="56">
        <v>1217</v>
      </c>
      <c r="L60" s="56" t="s">
        <v>262</v>
      </c>
      <c r="M60" s="56"/>
      <c r="N60" s="56">
        <v>1209</v>
      </c>
      <c r="O60" s="56">
        <v>352</v>
      </c>
      <c r="P60" s="56">
        <v>352</v>
      </c>
      <c r="Q60" s="56">
        <v>200</v>
      </c>
      <c r="R60" s="56">
        <v>643</v>
      </c>
      <c r="S60" s="133">
        <v>6744.66</v>
      </c>
      <c r="T60" s="133">
        <v>4887.9</v>
      </c>
      <c r="U60" s="56">
        <v>156</v>
      </c>
      <c r="V60" s="127">
        <v>3055.26</v>
      </c>
      <c r="W60" s="127">
        <v>2233.42</v>
      </c>
      <c r="X60" s="56">
        <f>O60-U60</f>
        <v>196</v>
      </c>
      <c r="Y60" s="128">
        <f>S60-V60</f>
        <v>3689.3999999999996</v>
      </c>
      <c r="Z60" s="128">
        <f>T60-W60</f>
        <v>2654.4799999999996</v>
      </c>
      <c r="AA60" s="129">
        <f>AB60+AE60</f>
        <v>133.65</v>
      </c>
      <c r="AB60" s="130">
        <f>AC60+AD60</f>
        <v>133.65</v>
      </c>
      <c r="AC60" s="129"/>
      <c r="AD60" s="130">
        <v>133.65</v>
      </c>
      <c r="AE60" s="128"/>
      <c r="AF60" s="96">
        <f>S60+AA60</f>
        <v>6878.3099999999995</v>
      </c>
      <c r="AG60" s="56"/>
      <c r="AH60" s="56">
        <v>2</v>
      </c>
      <c r="AI60" s="56">
        <v>2</v>
      </c>
      <c r="AJ60" s="56">
        <v>1</v>
      </c>
      <c r="AK60" s="56"/>
      <c r="AL60" s="56">
        <v>1</v>
      </c>
      <c r="AM60" s="56">
        <v>4534</v>
      </c>
      <c r="AN60" s="56"/>
      <c r="AO60" s="56">
        <v>231</v>
      </c>
      <c r="AP60" s="131">
        <v>258</v>
      </c>
      <c r="AQ60" s="56">
        <v>1305</v>
      </c>
      <c r="AR60" s="56">
        <v>9331</v>
      </c>
      <c r="AS60" s="56"/>
      <c r="AT60" s="56">
        <v>9331</v>
      </c>
      <c r="AU60" s="56">
        <v>3268</v>
      </c>
      <c r="AV60" s="56">
        <v>225</v>
      </c>
      <c r="AW60" s="56">
        <v>1173</v>
      </c>
      <c r="AX60" s="56">
        <v>1173</v>
      </c>
      <c r="AY60" s="56">
        <v>60</v>
      </c>
      <c r="AZ60" s="56">
        <v>93</v>
      </c>
      <c r="BA60" s="56">
        <v>384</v>
      </c>
      <c r="BB60" s="56">
        <v>1119</v>
      </c>
      <c r="BC60" s="56">
        <v>1</v>
      </c>
      <c r="BD60" s="56">
        <v>8789</v>
      </c>
      <c r="BE60" s="56">
        <v>225</v>
      </c>
      <c r="BF60" s="56">
        <v>200</v>
      </c>
      <c r="BG60" s="56"/>
      <c r="BH60" s="56"/>
      <c r="BI60" s="56"/>
      <c r="BJ60" s="56">
        <f>G60</f>
        <v>1</v>
      </c>
      <c r="BK60" s="56">
        <f>S60</f>
        <v>6744.66</v>
      </c>
      <c r="BL60" s="56">
        <f>T60</f>
        <v>4887.9</v>
      </c>
      <c r="BM60" s="56"/>
      <c r="BN60" s="56"/>
      <c r="BO60" s="56"/>
      <c r="BP60" s="56"/>
      <c r="BQ60" s="56"/>
      <c r="BR60" s="56"/>
      <c r="BS60" s="56"/>
      <c r="BT60" s="56"/>
      <c r="BU60" s="56"/>
      <c r="BV60" s="56">
        <f>AI60*85.85</f>
        <v>171.7</v>
      </c>
      <c r="BW60" s="56">
        <f>AI60*50.57</f>
        <v>101.14</v>
      </c>
      <c r="BX60" s="56">
        <f>AI60*1165.39</f>
        <v>2330.78</v>
      </c>
      <c r="BY60" s="56"/>
      <c r="BZ60" s="56"/>
      <c r="CA60" s="56"/>
      <c r="CB60" s="56"/>
      <c r="CC60" s="56"/>
      <c r="CD60" s="132">
        <v>249.72</v>
      </c>
      <c r="CE60" s="132">
        <v>1637.5700000000002</v>
      </c>
      <c r="CF60" s="132">
        <v>5.1</v>
      </c>
      <c r="CG60" s="132">
        <v>248.98</v>
      </c>
      <c r="CH60" s="132"/>
      <c r="CI60" s="132"/>
      <c r="CJ60" s="132">
        <v>1173</v>
      </c>
      <c r="CK60" s="98">
        <v>26.1</v>
      </c>
      <c r="CL60" s="115">
        <v>151.8</v>
      </c>
      <c r="CM60" s="58">
        <f>CD60+CE60+CF60+CG60+CH60+CI60+CJ60+CK60+CL60</f>
        <v>3492.27</v>
      </c>
      <c r="CN60" s="46">
        <v>2366</v>
      </c>
      <c r="CO60" s="46">
        <f>CN60-K60</f>
        <v>1149</v>
      </c>
      <c r="CP60" s="56"/>
      <c r="CQ60" s="133"/>
      <c r="CR60" s="133"/>
      <c r="CS60" s="56"/>
      <c r="CT60" s="56"/>
      <c r="CU60" s="14"/>
      <c r="CV60" s="55" t="str">
        <f>IF(CW60&gt;0,G60,"0")</f>
        <v>0</v>
      </c>
      <c r="CW60" s="54">
        <f>AS60</f>
        <v>0</v>
      </c>
      <c r="CX60" s="55">
        <f>IF(CY60&gt;0,G60,"0")</f>
        <v>1</v>
      </c>
      <c r="CY60" s="54">
        <f>AT60</f>
        <v>9331</v>
      </c>
      <c r="CZ60" s="54">
        <f>CV60+CX60</f>
        <v>1</v>
      </c>
      <c r="DA60" s="54">
        <f>CW60+CY60</f>
        <v>9331</v>
      </c>
      <c r="DB60" s="14"/>
      <c r="DC60" s="14"/>
      <c r="DD60" s="14"/>
      <c r="DE60" s="14"/>
      <c r="DF60" s="14"/>
      <c r="DG60" s="14"/>
      <c r="DH60" s="14"/>
      <c r="DI60" s="14"/>
    </row>
    <row r="61" spans="1:113" s="42" customFormat="1" ht="12.75">
      <c r="A61" s="49" t="s">
        <v>129</v>
      </c>
      <c r="B61" s="40">
        <v>55</v>
      </c>
      <c r="C61" s="11" t="s">
        <v>134</v>
      </c>
      <c r="D61" s="124">
        <v>1971</v>
      </c>
      <c r="E61" s="117" t="s">
        <v>155</v>
      </c>
      <c r="F61" s="118" t="s">
        <v>156</v>
      </c>
      <c r="G61" s="56">
        <v>1</v>
      </c>
      <c r="H61" s="125">
        <v>9</v>
      </c>
      <c r="I61" s="117" t="s">
        <v>145</v>
      </c>
      <c r="J61" s="56">
        <v>28965</v>
      </c>
      <c r="K61" s="56">
        <v>1196</v>
      </c>
      <c r="L61" s="56" t="s">
        <v>263</v>
      </c>
      <c r="M61" s="56">
        <v>1398</v>
      </c>
      <c r="N61" s="56"/>
      <c r="O61" s="56">
        <v>345</v>
      </c>
      <c r="P61" s="56">
        <v>345</v>
      </c>
      <c r="Q61" s="56">
        <v>182</v>
      </c>
      <c r="R61" s="56">
        <v>489</v>
      </c>
      <c r="S61" s="133">
        <v>6521</v>
      </c>
      <c r="T61" s="133">
        <v>4727.8</v>
      </c>
      <c r="U61" s="56">
        <v>170</v>
      </c>
      <c r="V61" s="127">
        <v>3308.4</v>
      </c>
      <c r="W61" s="127">
        <v>2411</v>
      </c>
      <c r="X61" s="56">
        <f>O61-U61</f>
        <v>175</v>
      </c>
      <c r="Y61" s="128">
        <f>S61-V61</f>
        <v>3212.6</v>
      </c>
      <c r="Z61" s="128">
        <f>T61-W61</f>
        <v>2316.8</v>
      </c>
      <c r="AA61" s="129">
        <f>AB61+AE61</f>
        <v>227.1</v>
      </c>
      <c r="AB61" s="130">
        <f>AC61+AD61</f>
        <v>227.1</v>
      </c>
      <c r="AC61" s="129"/>
      <c r="AD61" s="130">
        <v>227.1</v>
      </c>
      <c r="AE61" s="128"/>
      <c r="AF61" s="96">
        <f>S61+AA61</f>
        <v>6748.1</v>
      </c>
      <c r="AG61" s="56"/>
      <c r="AH61" s="56">
        <v>2</v>
      </c>
      <c r="AI61" s="56">
        <v>2</v>
      </c>
      <c r="AJ61" s="56">
        <v>1</v>
      </c>
      <c r="AK61" s="56"/>
      <c r="AL61" s="56">
        <v>1</v>
      </c>
      <c r="AM61" s="56">
        <v>3335</v>
      </c>
      <c r="AN61" s="56"/>
      <c r="AO61" s="56">
        <v>225</v>
      </c>
      <c r="AP61" s="131">
        <v>275</v>
      </c>
      <c r="AQ61" s="56">
        <v>1305</v>
      </c>
      <c r="AR61" s="56">
        <v>9331</v>
      </c>
      <c r="AS61" s="56"/>
      <c r="AT61" s="56">
        <v>9331</v>
      </c>
      <c r="AU61" s="56">
        <v>3260</v>
      </c>
      <c r="AV61" s="56">
        <v>215</v>
      </c>
      <c r="AW61" s="56">
        <v>1166</v>
      </c>
      <c r="AX61" s="56">
        <v>1166</v>
      </c>
      <c r="AY61" s="56">
        <v>62</v>
      </c>
      <c r="AZ61" s="56">
        <v>54</v>
      </c>
      <c r="BA61" s="56">
        <v>402</v>
      </c>
      <c r="BB61" s="56">
        <v>1120</v>
      </c>
      <c r="BC61" s="56">
        <v>1</v>
      </c>
      <c r="BD61" s="56">
        <v>8789</v>
      </c>
      <c r="BE61" s="56">
        <v>225</v>
      </c>
      <c r="BF61" s="56">
        <v>200</v>
      </c>
      <c r="BG61" s="56"/>
      <c r="BH61" s="56"/>
      <c r="BI61" s="56"/>
      <c r="BJ61" s="56">
        <f>G61</f>
        <v>1</v>
      </c>
      <c r="BK61" s="56">
        <f>S61</f>
        <v>6521</v>
      </c>
      <c r="BL61" s="56">
        <f>T61</f>
        <v>4727.8</v>
      </c>
      <c r="BM61" s="56"/>
      <c r="BN61" s="56"/>
      <c r="BO61" s="56"/>
      <c r="BP61" s="56"/>
      <c r="BQ61" s="56">
        <v>1</v>
      </c>
      <c r="BR61" s="56"/>
      <c r="BS61" s="56"/>
      <c r="BT61" s="56"/>
      <c r="BU61" s="56"/>
      <c r="BV61" s="56">
        <f>AI61*85.85</f>
        <v>171.7</v>
      </c>
      <c r="BW61" s="56">
        <f>AI61*50.57</f>
        <v>101.14</v>
      </c>
      <c r="BX61" s="56">
        <f>AI61*1165.39</f>
        <v>2330.78</v>
      </c>
      <c r="BY61" s="56"/>
      <c r="BZ61" s="56"/>
      <c r="CA61" s="56"/>
      <c r="CB61" s="56"/>
      <c r="CC61" s="56"/>
      <c r="CD61" s="132">
        <v>245.9</v>
      </c>
      <c r="CE61" s="132">
        <v>1603.7</v>
      </c>
      <c r="CF61" s="132">
        <v>5.1</v>
      </c>
      <c r="CG61" s="132">
        <v>219.4</v>
      </c>
      <c r="CH61" s="132">
        <v>1166</v>
      </c>
      <c r="CI61" s="132"/>
      <c r="CJ61" s="132">
        <v>1166</v>
      </c>
      <c r="CK61" s="98">
        <v>56.3</v>
      </c>
      <c r="CL61" s="115">
        <v>177.4</v>
      </c>
      <c r="CM61" s="58">
        <f>CD61+CE61+CF61+CG61+CH61+CI61+CJ61+CK61+CL61</f>
        <v>4639.8</v>
      </c>
      <c r="CN61" s="46">
        <v>2386</v>
      </c>
      <c r="CO61" s="46">
        <f>CN61-K61</f>
        <v>1190</v>
      </c>
      <c r="CP61" s="56"/>
      <c r="CQ61" s="133"/>
      <c r="CR61" s="133"/>
      <c r="CS61" s="56"/>
      <c r="CT61" s="56"/>
      <c r="CU61" s="14"/>
      <c r="CV61" s="55" t="str">
        <f>IF(CW61&gt;0,G61,"0")</f>
        <v>0</v>
      </c>
      <c r="CW61" s="54">
        <f>AS61</f>
        <v>0</v>
      </c>
      <c r="CX61" s="55">
        <f>IF(CY61&gt;0,G61,"0")</f>
        <v>1</v>
      </c>
      <c r="CY61" s="54">
        <f>AT61</f>
        <v>9331</v>
      </c>
      <c r="CZ61" s="54">
        <f>CV61+CX61</f>
        <v>1</v>
      </c>
      <c r="DA61" s="54">
        <f>CW61+CY61</f>
        <v>9331</v>
      </c>
      <c r="DB61" s="14"/>
      <c r="DC61" s="14"/>
      <c r="DD61" s="14"/>
      <c r="DE61" s="14"/>
      <c r="DF61" s="14"/>
      <c r="DG61" s="14"/>
      <c r="DH61" s="14"/>
      <c r="DI61" s="14"/>
    </row>
    <row r="62" spans="1:113" s="42" customFormat="1" ht="12.75">
      <c r="A62" s="49" t="s">
        <v>129</v>
      </c>
      <c r="B62" s="40">
        <v>56</v>
      </c>
      <c r="C62" s="11" t="s">
        <v>143</v>
      </c>
      <c r="D62" s="124">
        <v>1972</v>
      </c>
      <c r="E62" s="117" t="s">
        <v>155</v>
      </c>
      <c r="F62" s="118" t="s">
        <v>156</v>
      </c>
      <c r="G62" s="56">
        <v>1</v>
      </c>
      <c r="H62" s="125">
        <v>9</v>
      </c>
      <c r="I62" s="117" t="s">
        <v>145</v>
      </c>
      <c r="J62" s="56">
        <v>29239</v>
      </c>
      <c r="K62" s="56">
        <v>1214</v>
      </c>
      <c r="L62" s="56" t="s">
        <v>264</v>
      </c>
      <c r="M62" s="56">
        <v>1411</v>
      </c>
      <c r="N62" s="56"/>
      <c r="O62" s="56">
        <v>350</v>
      </c>
      <c r="P62" s="56">
        <v>350</v>
      </c>
      <c r="Q62" s="56">
        <v>170</v>
      </c>
      <c r="R62" s="56">
        <v>511</v>
      </c>
      <c r="S62" s="133">
        <v>6630.04</v>
      </c>
      <c r="T62" s="133">
        <v>4810.5</v>
      </c>
      <c r="U62" s="56">
        <v>177</v>
      </c>
      <c r="V62" s="127">
        <v>3431.18</v>
      </c>
      <c r="W62" s="127">
        <v>2512.17</v>
      </c>
      <c r="X62" s="56">
        <f>O62-U62</f>
        <v>173</v>
      </c>
      <c r="Y62" s="128">
        <f>S62-V62</f>
        <v>3198.86</v>
      </c>
      <c r="Z62" s="128">
        <f>T62-W62</f>
        <v>2298.33</v>
      </c>
      <c r="AA62" s="129">
        <f>AB62+AE62</f>
        <v>139.62</v>
      </c>
      <c r="AB62" s="130">
        <f>AC62+AD62</f>
        <v>139.62</v>
      </c>
      <c r="AC62" s="129"/>
      <c r="AD62" s="130">
        <v>139.62</v>
      </c>
      <c r="AE62" s="128"/>
      <c r="AF62" s="96">
        <f>S62+AA62</f>
        <v>6769.66</v>
      </c>
      <c r="AG62" s="56"/>
      <c r="AH62" s="56">
        <v>2</v>
      </c>
      <c r="AI62" s="56">
        <v>2</v>
      </c>
      <c r="AJ62" s="56">
        <v>1</v>
      </c>
      <c r="AK62" s="56"/>
      <c r="AL62" s="56">
        <v>1</v>
      </c>
      <c r="AM62" s="56">
        <v>4643</v>
      </c>
      <c r="AN62" s="56"/>
      <c r="AO62" s="56">
        <v>393</v>
      </c>
      <c r="AP62" s="131">
        <v>275</v>
      </c>
      <c r="AQ62" s="56">
        <v>1305</v>
      </c>
      <c r="AR62" s="56">
        <v>9331</v>
      </c>
      <c r="AS62" s="56"/>
      <c r="AT62" s="56">
        <v>9331</v>
      </c>
      <c r="AU62" s="56">
        <v>3302</v>
      </c>
      <c r="AV62" s="56">
        <v>240</v>
      </c>
      <c r="AW62" s="56">
        <v>1165</v>
      </c>
      <c r="AX62" s="56">
        <v>1165</v>
      </c>
      <c r="AY62" s="56">
        <v>60</v>
      </c>
      <c r="AZ62" s="56">
        <v>91</v>
      </c>
      <c r="BA62" s="56">
        <v>384</v>
      </c>
      <c r="BB62" s="56">
        <v>1119</v>
      </c>
      <c r="BC62" s="56">
        <v>1</v>
      </c>
      <c r="BD62" s="56">
        <v>8789</v>
      </c>
      <c r="BE62" s="56">
        <v>225</v>
      </c>
      <c r="BF62" s="56">
        <v>200</v>
      </c>
      <c r="BG62" s="56"/>
      <c r="BH62" s="56"/>
      <c r="BI62" s="56"/>
      <c r="BJ62" s="56">
        <f>G62</f>
        <v>1</v>
      </c>
      <c r="BK62" s="56">
        <f>S62</f>
        <v>6630.04</v>
      </c>
      <c r="BL62" s="56">
        <f>T62</f>
        <v>4810.5</v>
      </c>
      <c r="BM62" s="56"/>
      <c r="BN62" s="56"/>
      <c r="BO62" s="56"/>
      <c r="BP62" s="56"/>
      <c r="BQ62" s="56"/>
      <c r="BR62" s="56"/>
      <c r="BS62" s="56"/>
      <c r="BT62" s="56"/>
      <c r="BU62" s="56"/>
      <c r="BV62" s="56">
        <f>AI62*85.85</f>
        <v>171.7</v>
      </c>
      <c r="BW62" s="56">
        <f>AI62*50.57</f>
        <v>101.14</v>
      </c>
      <c r="BX62" s="56">
        <f>AI62*1165.39</f>
        <v>2330.78</v>
      </c>
      <c r="BY62" s="56"/>
      <c r="BZ62" s="56"/>
      <c r="CA62" s="56"/>
      <c r="CB62" s="56"/>
      <c r="CC62" s="56"/>
      <c r="CD62" s="132">
        <v>247.09</v>
      </c>
      <c r="CE62" s="132">
        <v>1399.6799999999998</v>
      </c>
      <c r="CF62" s="132">
        <v>5.1</v>
      </c>
      <c r="CG62" s="132">
        <v>250</v>
      </c>
      <c r="CH62" s="132">
        <v>1165</v>
      </c>
      <c r="CI62" s="132"/>
      <c r="CJ62" s="132">
        <v>1165</v>
      </c>
      <c r="CK62" s="98">
        <v>53.400000000000006</v>
      </c>
      <c r="CL62" s="115">
        <v>124.38</v>
      </c>
      <c r="CM62" s="58">
        <f>CD62+CE62+CF62+CG62+CH62+CI62+CJ62+CK62+CL62</f>
        <v>4409.65</v>
      </c>
      <c r="CN62" s="46">
        <v>2287</v>
      </c>
      <c r="CO62" s="46">
        <f>CN62-K62</f>
        <v>1073</v>
      </c>
      <c r="CP62" s="56"/>
      <c r="CQ62" s="133"/>
      <c r="CR62" s="133"/>
      <c r="CS62" s="56"/>
      <c r="CT62" s="56"/>
      <c r="CU62" s="14"/>
      <c r="CV62" s="55" t="str">
        <f>IF(CW62&gt;0,G62,"0")</f>
        <v>0</v>
      </c>
      <c r="CW62" s="54">
        <f>AS62</f>
        <v>0</v>
      </c>
      <c r="CX62" s="55">
        <f>IF(CY62&gt;0,G62,"0")</f>
        <v>1</v>
      </c>
      <c r="CY62" s="54">
        <f>AT62</f>
        <v>9331</v>
      </c>
      <c r="CZ62" s="54">
        <f>CV62+CX62</f>
        <v>1</v>
      </c>
      <c r="DA62" s="54">
        <f>CW62+CY62</f>
        <v>9331</v>
      </c>
      <c r="DB62" s="14"/>
      <c r="DC62" s="14"/>
      <c r="DD62" s="14"/>
      <c r="DE62" s="14"/>
      <c r="DF62" s="14"/>
      <c r="DG62" s="14"/>
      <c r="DH62" s="14"/>
      <c r="DI62" s="14"/>
    </row>
    <row r="63" spans="1:113" s="42" customFormat="1" ht="12.75">
      <c r="A63" s="49" t="s">
        <v>129</v>
      </c>
      <c r="B63" s="40">
        <v>57</v>
      </c>
      <c r="C63" s="11" t="s">
        <v>140</v>
      </c>
      <c r="D63" s="124">
        <v>1972</v>
      </c>
      <c r="E63" s="117" t="s">
        <v>155</v>
      </c>
      <c r="F63" s="118" t="s">
        <v>156</v>
      </c>
      <c r="G63" s="56">
        <v>1</v>
      </c>
      <c r="H63" s="125">
        <v>9</v>
      </c>
      <c r="I63" s="117" t="s">
        <v>145</v>
      </c>
      <c r="J63" s="56">
        <v>28739</v>
      </c>
      <c r="K63" s="56">
        <v>1192</v>
      </c>
      <c r="L63" s="56" t="s">
        <v>265</v>
      </c>
      <c r="M63" s="56">
        <v>1415</v>
      </c>
      <c r="N63" s="56"/>
      <c r="O63" s="56">
        <v>353</v>
      </c>
      <c r="P63" s="56">
        <v>353</v>
      </c>
      <c r="Q63" s="56">
        <v>170</v>
      </c>
      <c r="R63" s="56">
        <v>563</v>
      </c>
      <c r="S63" s="133">
        <v>6752.39</v>
      </c>
      <c r="T63" s="133">
        <v>4883.9</v>
      </c>
      <c r="U63" s="56">
        <v>154</v>
      </c>
      <c r="V63" s="127">
        <v>2952.82</v>
      </c>
      <c r="W63" s="127">
        <v>2137.48</v>
      </c>
      <c r="X63" s="56">
        <f>O63-U63</f>
        <v>199</v>
      </c>
      <c r="Y63" s="128">
        <f>S63-V63</f>
        <v>3799.57</v>
      </c>
      <c r="Z63" s="128">
        <f>T63-W63</f>
        <v>2746.4199999999996</v>
      </c>
      <c r="AA63" s="129">
        <f>AB63+AE63</f>
        <v>87.22</v>
      </c>
      <c r="AB63" s="130">
        <f>AC63+AD63</f>
        <v>87.22</v>
      </c>
      <c r="AC63" s="129"/>
      <c r="AD63" s="130">
        <v>87.22</v>
      </c>
      <c r="AE63" s="128"/>
      <c r="AF63" s="96">
        <f>S63+AA63</f>
        <v>6839.610000000001</v>
      </c>
      <c r="AG63" s="56"/>
      <c r="AH63" s="56">
        <v>2</v>
      </c>
      <c r="AI63" s="56">
        <v>2</v>
      </c>
      <c r="AJ63" s="56">
        <v>1</v>
      </c>
      <c r="AK63" s="56"/>
      <c r="AL63" s="56">
        <v>1</v>
      </c>
      <c r="AM63" s="56">
        <v>4560</v>
      </c>
      <c r="AN63" s="56"/>
      <c r="AO63" s="56">
        <v>231</v>
      </c>
      <c r="AP63" s="131">
        <v>365</v>
      </c>
      <c r="AQ63" s="56">
        <v>1305</v>
      </c>
      <c r="AR63" s="56">
        <v>9331</v>
      </c>
      <c r="AS63" s="56"/>
      <c r="AT63" s="56">
        <v>9331</v>
      </c>
      <c r="AU63" s="56">
        <v>3276</v>
      </c>
      <c r="AV63" s="56">
        <v>223</v>
      </c>
      <c r="AW63" s="56">
        <v>1169</v>
      </c>
      <c r="AX63" s="56">
        <v>1169</v>
      </c>
      <c r="AY63" s="56">
        <v>62</v>
      </c>
      <c r="AZ63" s="56">
        <v>54</v>
      </c>
      <c r="BA63" s="56">
        <v>402</v>
      </c>
      <c r="BB63" s="56">
        <v>1120</v>
      </c>
      <c r="BC63" s="56">
        <v>1</v>
      </c>
      <c r="BD63" s="56">
        <v>8789</v>
      </c>
      <c r="BE63" s="56">
        <v>225</v>
      </c>
      <c r="BF63" s="56">
        <v>200</v>
      </c>
      <c r="BG63" s="56"/>
      <c r="BH63" s="56"/>
      <c r="BI63" s="56"/>
      <c r="BJ63" s="56">
        <f>G63</f>
        <v>1</v>
      </c>
      <c r="BK63" s="56">
        <f>S63</f>
        <v>6752.39</v>
      </c>
      <c r="BL63" s="56">
        <f>T63</f>
        <v>4883.9</v>
      </c>
      <c r="BM63" s="56"/>
      <c r="BN63" s="56"/>
      <c r="BO63" s="56"/>
      <c r="BP63" s="56"/>
      <c r="BQ63" s="56"/>
      <c r="BR63" s="56"/>
      <c r="BS63" s="56"/>
      <c r="BT63" s="56"/>
      <c r="BU63" s="56"/>
      <c r="BV63" s="56">
        <f>AI63*85.85</f>
        <v>171.7</v>
      </c>
      <c r="BW63" s="56">
        <f>AI63*50.57</f>
        <v>101.14</v>
      </c>
      <c r="BX63" s="56">
        <f>AI63*1165.39</f>
        <v>2330.78</v>
      </c>
      <c r="BY63" s="56"/>
      <c r="BZ63" s="56"/>
      <c r="CA63" s="56"/>
      <c r="CB63" s="56"/>
      <c r="CC63" s="56"/>
      <c r="CD63" s="132">
        <v>248.02</v>
      </c>
      <c r="CE63" s="132">
        <v>1682.36</v>
      </c>
      <c r="CF63" s="132">
        <v>4.93</v>
      </c>
      <c r="CG63" s="132">
        <v>233.61</v>
      </c>
      <c r="CH63" s="132">
        <v>1169</v>
      </c>
      <c r="CI63" s="132"/>
      <c r="CJ63" s="132">
        <v>1169</v>
      </c>
      <c r="CK63" s="98">
        <v>55.5</v>
      </c>
      <c r="CL63" s="115">
        <v>148.96</v>
      </c>
      <c r="CM63" s="58">
        <f>CD63+CE63+CF63+CG63+CH63+CI63+CJ63+CK63+CL63</f>
        <v>4711.38</v>
      </c>
      <c r="CN63" s="46">
        <v>2270</v>
      </c>
      <c r="CO63" s="46">
        <f>CN63-K63</f>
        <v>1078</v>
      </c>
      <c r="CP63" s="56"/>
      <c r="CQ63" s="133"/>
      <c r="CR63" s="133"/>
      <c r="CS63" s="56"/>
      <c r="CT63" s="56"/>
      <c r="CU63" s="14"/>
      <c r="CV63" s="55" t="str">
        <f>IF(CW63&gt;0,G63,"0")</f>
        <v>0</v>
      </c>
      <c r="CW63" s="54">
        <f>AS63</f>
        <v>0</v>
      </c>
      <c r="CX63" s="55">
        <f>IF(CY63&gt;0,G63,"0")</f>
        <v>1</v>
      </c>
      <c r="CY63" s="54">
        <f>AT63</f>
        <v>9331</v>
      </c>
      <c r="CZ63" s="54">
        <f>CV63+CX63</f>
        <v>1</v>
      </c>
      <c r="DA63" s="54">
        <f>CW63+CY63</f>
        <v>9331</v>
      </c>
      <c r="DB63" s="14"/>
      <c r="DC63" s="14"/>
      <c r="DD63" s="14"/>
      <c r="DE63" s="14"/>
      <c r="DF63" s="14"/>
      <c r="DG63" s="14"/>
      <c r="DH63" s="14"/>
      <c r="DI63" s="14"/>
    </row>
    <row r="64" spans="1:113" s="101" customFormat="1" ht="12.75">
      <c r="A64" s="100" t="s">
        <v>129</v>
      </c>
      <c r="B64" s="40">
        <v>58</v>
      </c>
      <c r="C64" s="11" t="s">
        <v>133</v>
      </c>
      <c r="D64" s="124">
        <v>1965</v>
      </c>
      <c r="E64" s="117" t="s">
        <v>155</v>
      </c>
      <c r="F64" s="11" t="s">
        <v>154</v>
      </c>
      <c r="G64" s="56">
        <v>1</v>
      </c>
      <c r="H64" s="125">
        <v>5</v>
      </c>
      <c r="I64" s="117" t="s">
        <v>146</v>
      </c>
      <c r="J64" s="56">
        <v>13350</v>
      </c>
      <c r="K64" s="56">
        <v>977</v>
      </c>
      <c r="L64" s="56" t="s">
        <v>266</v>
      </c>
      <c r="M64" s="56">
        <v>1122</v>
      </c>
      <c r="N64" s="56"/>
      <c r="O64" s="56">
        <v>128</v>
      </c>
      <c r="P64" s="56">
        <v>128</v>
      </c>
      <c r="Q64" s="56">
        <v>161</v>
      </c>
      <c r="R64" s="56">
        <v>154</v>
      </c>
      <c r="S64" s="130">
        <v>2393.1</v>
      </c>
      <c r="T64" s="133">
        <v>1663.01</v>
      </c>
      <c r="U64" s="56">
        <v>8</v>
      </c>
      <c r="V64" s="127">
        <v>157</v>
      </c>
      <c r="W64" s="127">
        <v>106.9</v>
      </c>
      <c r="X64" s="56">
        <f>O64-U64</f>
        <v>120</v>
      </c>
      <c r="Y64" s="128">
        <f>S64-V64</f>
        <v>2236.1</v>
      </c>
      <c r="Z64" s="128">
        <f>T64-W64</f>
        <v>1556.11</v>
      </c>
      <c r="AA64" s="129">
        <f>AB64+AE64</f>
        <v>210.5</v>
      </c>
      <c r="AB64" s="130">
        <f>AC64+AD64</f>
        <v>210.5</v>
      </c>
      <c r="AC64" s="129"/>
      <c r="AD64" s="130">
        <v>210.5</v>
      </c>
      <c r="AE64" s="128"/>
      <c r="AF64" s="96">
        <f>S64+AA64</f>
        <v>2603.6</v>
      </c>
      <c r="AG64" s="56"/>
      <c r="AH64" s="56"/>
      <c r="AI64" s="56">
        <v>3</v>
      </c>
      <c r="AJ64" s="56">
        <v>1</v>
      </c>
      <c r="AK64" s="56"/>
      <c r="AL64" s="56">
        <v>1</v>
      </c>
      <c r="AM64" s="56">
        <v>2433</v>
      </c>
      <c r="AN64" s="56"/>
      <c r="AO64" s="56">
        <v>225</v>
      </c>
      <c r="AP64" s="131">
        <v>299</v>
      </c>
      <c r="AQ64" s="56">
        <v>376</v>
      </c>
      <c r="AR64" s="56">
        <v>1891</v>
      </c>
      <c r="AS64" s="56"/>
      <c r="AT64" s="56">
        <v>1891</v>
      </c>
      <c r="AU64" s="56"/>
      <c r="AV64" s="56">
        <v>121</v>
      </c>
      <c r="AW64" s="56">
        <v>920</v>
      </c>
      <c r="AX64" s="56">
        <v>920</v>
      </c>
      <c r="AY64" s="56">
        <v>14</v>
      </c>
      <c r="AZ64" s="56">
        <v>42</v>
      </c>
      <c r="BA64" s="56">
        <v>215</v>
      </c>
      <c r="BB64" s="56">
        <v>670</v>
      </c>
      <c r="BC64" s="56">
        <v>1</v>
      </c>
      <c r="BD64" s="56">
        <v>3932</v>
      </c>
      <c r="BE64" s="56">
        <v>101</v>
      </c>
      <c r="BF64" s="56"/>
      <c r="BG64" s="56">
        <f>G64</f>
        <v>1</v>
      </c>
      <c r="BH64" s="56">
        <f>S64</f>
        <v>2393.1</v>
      </c>
      <c r="BI64" s="56">
        <f>T64</f>
        <v>1663.01</v>
      </c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>
        <f>AM64</f>
        <v>2433</v>
      </c>
      <c r="BV64" s="56">
        <f>AI64*66.22</f>
        <v>198.66</v>
      </c>
      <c r="BW64" s="56">
        <f>AI64*24.75</f>
        <v>74.25</v>
      </c>
      <c r="BX64" s="56">
        <f>AI64*248.32</f>
        <v>744.96</v>
      </c>
      <c r="BY64" s="56">
        <v>1</v>
      </c>
      <c r="BZ64" s="56"/>
      <c r="CA64" s="56"/>
      <c r="CB64" s="56"/>
      <c r="CC64" s="56"/>
      <c r="CD64" s="132">
        <v>181</v>
      </c>
      <c r="CE64" s="132">
        <v>429.3</v>
      </c>
      <c r="CF64" s="132"/>
      <c r="CG64" s="132">
        <v>288.6</v>
      </c>
      <c r="CH64" s="132">
        <v>920</v>
      </c>
      <c r="CI64" s="132"/>
      <c r="CJ64" s="132">
        <v>920</v>
      </c>
      <c r="CK64" s="98">
        <v>18.5</v>
      </c>
      <c r="CL64" s="115"/>
      <c r="CM64" s="58">
        <f>CD64+CE64+CF64+CG64+CH64+CI64+CJ64+CK64+CL64</f>
        <v>2757.4</v>
      </c>
      <c r="CN64" s="46">
        <v>3363</v>
      </c>
      <c r="CO64" s="46">
        <f>CN64-K64</f>
        <v>2386</v>
      </c>
      <c r="CP64" s="56"/>
      <c r="CQ64" s="133"/>
      <c r="CR64" s="133"/>
      <c r="CS64" s="56"/>
      <c r="CT64" s="56"/>
      <c r="CU64" s="14"/>
      <c r="CV64" s="55" t="str">
        <f>IF(CW64&gt;0,G64,"0")</f>
        <v>0</v>
      </c>
      <c r="CW64" s="54">
        <f>AS64</f>
        <v>0</v>
      </c>
      <c r="CX64" s="55">
        <f>IF(CY64&gt;0,G64,"0")</f>
        <v>1</v>
      </c>
      <c r="CY64" s="54">
        <f>AT64</f>
        <v>1891</v>
      </c>
      <c r="CZ64" s="54">
        <f>CV64+CX64</f>
        <v>1</v>
      </c>
      <c r="DA64" s="54">
        <f>CW64+CY64</f>
        <v>1891</v>
      </c>
      <c r="DB64" s="14"/>
      <c r="DC64" s="14"/>
      <c r="DD64" s="14"/>
      <c r="DE64" s="14"/>
      <c r="DF64" s="14"/>
      <c r="DG64" s="14"/>
      <c r="DH64" s="14"/>
      <c r="DI64" s="14"/>
    </row>
    <row r="65" spans="1:113" s="42" customFormat="1" ht="12.75">
      <c r="A65" s="49" t="s">
        <v>129</v>
      </c>
      <c r="B65" s="40">
        <v>59</v>
      </c>
      <c r="C65" s="11" t="s">
        <v>142</v>
      </c>
      <c r="D65" s="124">
        <v>1978</v>
      </c>
      <c r="E65" s="117" t="s">
        <v>155</v>
      </c>
      <c r="F65" s="118" t="s">
        <v>156</v>
      </c>
      <c r="G65" s="56">
        <v>1</v>
      </c>
      <c r="H65" s="125">
        <v>9</v>
      </c>
      <c r="I65" s="117" t="s">
        <v>145</v>
      </c>
      <c r="J65" s="56">
        <v>28812</v>
      </c>
      <c r="K65" s="56">
        <v>1226</v>
      </c>
      <c r="L65" s="56" t="s">
        <v>267</v>
      </c>
      <c r="M65" s="56">
        <v>1398</v>
      </c>
      <c r="N65" s="56"/>
      <c r="O65" s="56">
        <v>318</v>
      </c>
      <c r="P65" s="56">
        <v>318</v>
      </c>
      <c r="Q65" s="56">
        <v>100</v>
      </c>
      <c r="R65" s="56">
        <v>560</v>
      </c>
      <c r="S65" s="133">
        <v>6140.77</v>
      </c>
      <c r="T65" s="133">
        <v>4397.5</v>
      </c>
      <c r="U65" s="56">
        <v>136</v>
      </c>
      <c r="V65" s="127">
        <v>2623.13</v>
      </c>
      <c r="W65" s="127">
        <v>1875.43</v>
      </c>
      <c r="X65" s="56">
        <f>O65-U65</f>
        <v>182</v>
      </c>
      <c r="Y65" s="128">
        <f>S65-V65</f>
        <v>3517.6400000000003</v>
      </c>
      <c r="Z65" s="128">
        <f>T65-W65</f>
        <v>2522.0699999999997</v>
      </c>
      <c r="AA65" s="129">
        <f>AB65+AE65</f>
        <v>97.38</v>
      </c>
      <c r="AB65" s="130">
        <f>AC65+AD65</f>
        <v>97.38</v>
      </c>
      <c r="AC65" s="129"/>
      <c r="AD65" s="130">
        <v>97.38</v>
      </c>
      <c r="AE65" s="128"/>
      <c r="AF65" s="96">
        <f>S65+AA65</f>
        <v>6238.150000000001</v>
      </c>
      <c r="AG65" s="56"/>
      <c r="AH65" s="56">
        <v>2</v>
      </c>
      <c r="AI65" s="56">
        <v>2</v>
      </c>
      <c r="AJ65" s="56">
        <v>1</v>
      </c>
      <c r="AK65" s="56"/>
      <c r="AL65" s="56">
        <v>1</v>
      </c>
      <c r="AM65" s="56">
        <v>4300</v>
      </c>
      <c r="AN65" s="56"/>
      <c r="AO65" s="56">
        <v>360</v>
      </c>
      <c r="AP65" s="131">
        <v>384</v>
      </c>
      <c r="AQ65" s="56">
        <v>1305</v>
      </c>
      <c r="AR65" s="56">
        <v>9331</v>
      </c>
      <c r="AS65" s="56"/>
      <c r="AT65" s="56">
        <v>9331</v>
      </c>
      <c r="AU65" s="56">
        <v>3263</v>
      </c>
      <c r="AV65" s="56">
        <v>224</v>
      </c>
      <c r="AW65" s="56">
        <v>1187</v>
      </c>
      <c r="AX65" s="56">
        <v>1187</v>
      </c>
      <c r="AY65" s="56">
        <v>70</v>
      </c>
      <c r="AZ65" s="56">
        <v>54</v>
      </c>
      <c r="BA65" s="56">
        <v>386</v>
      </c>
      <c r="BB65" s="56">
        <v>1077</v>
      </c>
      <c r="BC65" s="56">
        <v>1</v>
      </c>
      <c r="BD65" s="56">
        <v>8789</v>
      </c>
      <c r="BE65" s="56">
        <v>225</v>
      </c>
      <c r="BF65" s="56">
        <v>200</v>
      </c>
      <c r="BG65" s="56"/>
      <c r="BH65" s="56"/>
      <c r="BI65" s="56"/>
      <c r="BJ65" s="56">
        <f>G65</f>
        <v>1</v>
      </c>
      <c r="BK65" s="56">
        <f>S65</f>
        <v>6140.77</v>
      </c>
      <c r="BL65" s="56">
        <f>T65</f>
        <v>4397.5</v>
      </c>
      <c r="BM65" s="56"/>
      <c r="BN65" s="56"/>
      <c r="BO65" s="56"/>
      <c r="BP65" s="56"/>
      <c r="BQ65" s="56"/>
      <c r="BR65" s="56"/>
      <c r="BS65" s="56"/>
      <c r="BT65" s="56">
        <v>20</v>
      </c>
      <c r="BU65" s="56"/>
      <c r="BV65" s="56">
        <f>AI65*85.85</f>
        <v>171.7</v>
      </c>
      <c r="BW65" s="56">
        <f>AI65*50.57</f>
        <v>101.14</v>
      </c>
      <c r="BX65" s="56">
        <f>AI65*1165.39</f>
        <v>2330.78</v>
      </c>
      <c r="BY65" s="56">
        <v>2</v>
      </c>
      <c r="BZ65" s="56"/>
      <c r="CA65" s="56"/>
      <c r="CB65" s="56"/>
      <c r="CC65" s="56"/>
      <c r="CD65" s="132">
        <v>248.7</v>
      </c>
      <c r="CE65" s="132">
        <v>1557.64</v>
      </c>
      <c r="CF65" s="132">
        <v>5.63</v>
      </c>
      <c r="CG65" s="132">
        <v>655.48</v>
      </c>
      <c r="CH65" s="132">
        <v>1187</v>
      </c>
      <c r="CI65" s="132"/>
      <c r="CJ65" s="132">
        <v>1187</v>
      </c>
      <c r="CK65" s="98">
        <v>38.9</v>
      </c>
      <c r="CL65" s="115">
        <v>100.7</v>
      </c>
      <c r="CM65" s="58">
        <f>CD65+CE65+CF65+CG65+CH65+CI65+CJ65+CK65+CL65</f>
        <v>4981.049999999999</v>
      </c>
      <c r="CN65" s="46">
        <v>3048</v>
      </c>
      <c r="CO65" s="46">
        <f>CN65-K65</f>
        <v>1822</v>
      </c>
      <c r="CP65" s="56"/>
      <c r="CQ65" s="133"/>
      <c r="CR65" s="133"/>
      <c r="CS65" s="56"/>
      <c r="CT65" s="56"/>
      <c r="CU65" s="14"/>
      <c r="CV65" s="55" t="str">
        <f>IF(CW65&gt;0,G65,"0")</f>
        <v>0</v>
      </c>
      <c r="CW65" s="54">
        <f>AS65</f>
        <v>0</v>
      </c>
      <c r="CX65" s="55">
        <f>IF(CY65&gt;0,G65,"0")</f>
        <v>1</v>
      </c>
      <c r="CY65" s="54">
        <f>AT65</f>
        <v>9331</v>
      </c>
      <c r="CZ65" s="54">
        <f>CV65+CX65</f>
        <v>1</v>
      </c>
      <c r="DA65" s="54">
        <f>CW65+CY65</f>
        <v>9331</v>
      </c>
      <c r="DB65" s="14"/>
      <c r="DC65" s="14"/>
      <c r="DD65" s="14"/>
      <c r="DE65" s="14"/>
      <c r="DF65" s="14"/>
      <c r="DG65" s="14"/>
      <c r="DH65" s="14"/>
      <c r="DI65" s="14"/>
    </row>
    <row r="66" spans="1:113" s="101" customFormat="1" ht="12.75">
      <c r="A66" s="100" t="s">
        <v>129</v>
      </c>
      <c r="B66" s="40">
        <v>60</v>
      </c>
      <c r="C66" s="11" t="s">
        <v>138</v>
      </c>
      <c r="D66" s="124">
        <v>1964</v>
      </c>
      <c r="E66" s="117" t="s">
        <v>155</v>
      </c>
      <c r="F66" s="11" t="s">
        <v>154</v>
      </c>
      <c r="G66" s="56">
        <v>1</v>
      </c>
      <c r="H66" s="125">
        <v>5</v>
      </c>
      <c r="I66" s="117" t="s">
        <v>146</v>
      </c>
      <c r="J66" s="56">
        <v>14301</v>
      </c>
      <c r="K66" s="56">
        <v>1023</v>
      </c>
      <c r="L66" s="56" t="s">
        <v>268</v>
      </c>
      <c r="M66" s="56">
        <v>1182</v>
      </c>
      <c r="N66" s="56"/>
      <c r="O66" s="56">
        <v>71</v>
      </c>
      <c r="P66" s="56">
        <v>71</v>
      </c>
      <c r="Q66" s="56">
        <v>20</v>
      </c>
      <c r="R66" s="56">
        <v>21</v>
      </c>
      <c r="S66" s="130">
        <v>1145.84</v>
      </c>
      <c r="T66" s="133">
        <v>1145.84</v>
      </c>
      <c r="U66" s="56">
        <v>1</v>
      </c>
      <c r="V66" s="127">
        <v>13.3</v>
      </c>
      <c r="W66" s="127">
        <v>13.32</v>
      </c>
      <c r="X66" s="56">
        <f>O66-U66</f>
        <v>70</v>
      </c>
      <c r="Y66" s="128">
        <f>S66-V66</f>
        <v>1132.54</v>
      </c>
      <c r="Z66" s="128">
        <f>T66-W66</f>
        <v>1132.52</v>
      </c>
      <c r="AA66" s="129">
        <f>AB66+AE66</f>
        <v>1670.13</v>
      </c>
      <c r="AB66" s="130">
        <f>AC66+AD66</f>
        <v>901.3300000000002</v>
      </c>
      <c r="AC66" s="129"/>
      <c r="AD66" s="130">
        <v>901.3300000000002</v>
      </c>
      <c r="AE66" s="128">
        <v>768.8</v>
      </c>
      <c r="AF66" s="96">
        <f>S66+AA66</f>
        <v>2815.9700000000003</v>
      </c>
      <c r="AG66" s="56"/>
      <c r="AH66" s="56"/>
      <c r="AI66" s="56">
        <v>2</v>
      </c>
      <c r="AJ66" s="56">
        <v>1</v>
      </c>
      <c r="AK66" s="56"/>
      <c r="AL66" s="56">
        <v>1</v>
      </c>
      <c r="AM66" s="56">
        <v>2060</v>
      </c>
      <c r="AN66" s="56"/>
      <c r="AO66" s="56">
        <v>306</v>
      </c>
      <c r="AP66" s="131">
        <v>270</v>
      </c>
      <c r="AQ66" s="56">
        <v>582</v>
      </c>
      <c r="AR66" s="56">
        <v>2093</v>
      </c>
      <c r="AS66" s="56"/>
      <c r="AT66" s="56">
        <v>2093</v>
      </c>
      <c r="AU66" s="56"/>
      <c r="AV66" s="56">
        <v>114</v>
      </c>
      <c r="AW66" s="56">
        <v>1000</v>
      </c>
      <c r="AX66" s="56">
        <v>1000</v>
      </c>
      <c r="AY66" s="56">
        <v>27</v>
      </c>
      <c r="AZ66" s="56">
        <v>19</v>
      </c>
      <c r="BA66" s="56">
        <v>195</v>
      </c>
      <c r="BB66" s="56">
        <v>257</v>
      </c>
      <c r="BC66" s="56">
        <v>1</v>
      </c>
      <c r="BD66" s="56">
        <v>3932</v>
      </c>
      <c r="BE66" s="56">
        <v>101</v>
      </c>
      <c r="BF66" s="56"/>
      <c r="BG66" s="56">
        <f>G66</f>
        <v>1</v>
      </c>
      <c r="BH66" s="56">
        <f>S66</f>
        <v>1145.84</v>
      </c>
      <c r="BI66" s="56">
        <f>T66</f>
        <v>1145.84</v>
      </c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>
        <f>AM66</f>
        <v>2060</v>
      </c>
      <c r="BV66" s="56">
        <f>AI66*66.22</f>
        <v>132.44</v>
      </c>
      <c r="BW66" s="56">
        <f>AI66*24.75</f>
        <v>49.5</v>
      </c>
      <c r="BX66" s="56">
        <f>AI66*248.32</f>
        <v>496.64</v>
      </c>
      <c r="BY66" s="56"/>
      <c r="BZ66" s="56"/>
      <c r="CA66" s="56"/>
      <c r="CB66" s="56"/>
      <c r="CC66" s="56"/>
      <c r="CD66" s="132">
        <v>129.21</v>
      </c>
      <c r="CE66" s="132">
        <v>668.02</v>
      </c>
      <c r="CF66" s="132"/>
      <c r="CG66" s="132">
        <v>281.43</v>
      </c>
      <c r="CH66" s="132">
        <v>1000</v>
      </c>
      <c r="CI66" s="132"/>
      <c r="CJ66" s="132">
        <v>1000</v>
      </c>
      <c r="CK66" s="98">
        <v>22.9</v>
      </c>
      <c r="CL66" s="115">
        <v>26</v>
      </c>
      <c r="CM66" s="58">
        <f>CD66+CE66+CF66+CG66+CH66+CI66+CJ66+CK66+CL66</f>
        <v>3127.56</v>
      </c>
      <c r="CN66" s="46">
        <v>2692</v>
      </c>
      <c r="CO66" s="46">
        <f>CN66-K66</f>
        <v>1669</v>
      </c>
      <c r="CP66" s="56"/>
      <c r="CQ66" s="133"/>
      <c r="CR66" s="133"/>
      <c r="CS66" s="56"/>
      <c r="CT66" s="56"/>
      <c r="CU66" s="14"/>
      <c r="CV66" s="55" t="str">
        <f>IF(CW66&gt;0,G66,"0")</f>
        <v>0</v>
      </c>
      <c r="CW66" s="54">
        <f>AS66</f>
        <v>0</v>
      </c>
      <c r="CX66" s="55">
        <f>IF(CY66&gt;0,G66,"0")</f>
        <v>1</v>
      </c>
      <c r="CY66" s="54">
        <f>AT66</f>
        <v>2093</v>
      </c>
      <c r="CZ66" s="54">
        <f>CV66+CX66</f>
        <v>1</v>
      </c>
      <c r="DA66" s="54">
        <f>CW66+CY66</f>
        <v>2093</v>
      </c>
      <c r="DB66" s="14"/>
      <c r="DC66" s="14"/>
      <c r="DD66" s="14"/>
      <c r="DE66" s="14"/>
      <c r="DF66" s="14"/>
      <c r="DG66" s="14"/>
      <c r="DH66" s="14"/>
      <c r="DI66" s="14"/>
    </row>
    <row r="67" spans="1:113" s="35" customFormat="1" ht="15" customHeight="1">
      <c r="A67" s="34"/>
      <c r="B67" s="113"/>
      <c r="C67" s="135" t="s">
        <v>16</v>
      </c>
      <c r="D67" s="135"/>
      <c r="E67" s="136"/>
      <c r="F67" s="136"/>
      <c r="G67" s="57">
        <f>SUM(G7:G66)</f>
        <v>60</v>
      </c>
      <c r="H67" s="137"/>
      <c r="I67" s="137"/>
      <c r="J67" s="57">
        <f>SUM(J7:J66)</f>
        <v>2039704</v>
      </c>
      <c r="K67" s="57">
        <f>SUM(K7:K66)</f>
        <v>99589</v>
      </c>
      <c r="L67" s="57"/>
      <c r="M67" s="57">
        <f>SUM(M7:M66)</f>
        <v>77212</v>
      </c>
      <c r="N67" s="57">
        <f>SUM(N7:N66)</f>
        <v>35172</v>
      </c>
      <c r="O67" s="57">
        <f>SUM(O7:O66)</f>
        <v>11051</v>
      </c>
      <c r="P67" s="57">
        <f>SUM(P7:P66)</f>
        <v>17587</v>
      </c>
      <c r="Q67" s="57">
        <f>SUM(Q7:Q66)</f>
        <v>10530</v>
      </c>
      <c r="R67" s="57">
        <f>SUM(R7:R66)</f>
        <v>18454</v>
      </c>
      <c r="S67" s="138">
        <f>SUM(S7:S66)</f>
        <v>409329.53</v>
      </c>
      <c r="T67" s="57">
        <f>SUM(T7:T66)</f>
        <v>264331.74</v>
      </c>
      <c r="U67" s="57">
        <f>SUM(U7:U66)</f>
        <v>6554</v>
      </c>
      <c r="V67" s="57">
        <f>SUM(V7:V66)</f>
        <v>297385.18000000005</v>
      </c>
      <c r="W67" s="57">
        <f>SUM(W7:W66)</f>
        <v>187375.09000000005</v>
      </c>
      <c r="X67" s="57">
        <f>SUM(X7:X66)</f>
        <v>4497</v>
      </c>
      <c r="Y67" s="57">
        <f>SUM(Y7:Y66)</f>
        <v>111944.35000000002</v>
      </c>
      <c r="Z67" s="57">
        <f>SUM(Z7:Z66)</f>
        <v>76956.65000000001</v>
      </c>
      <c r="AA67" s="57">
        <f>SUM(AA7:AA66)</f>
        <v>41017.98999999998</v>
      </c>
      <c r="AB67" s="138">
        <f>SUM(AB7:AB66)</f>
        <v>31476.179999999993</v>
      </c>
      <c r="AC67" s="57">
        <f>SUM(AC7:AC66)</f>
        <v>0</v>
      </c>
      <c r="AD67" s="138">
        <f>SUM(AD7:AD66)</f>
        <v>31476.179999999993</v>
      </c>
      <c r="AE67" s="57">
        <f>SUM(AE7:AE66)</f>
        <v>9541.81</v>
      </c>
      <c r="AF67" s="139">
        <f>SUM(AF7:AF66)</f>
        <v>450347.52</v>
      </c>
      <c r="AG67" s="57">
        <f>SUM(AG7:AG66)</f>
        <v>0</v>
      </c>
      <c r="AH67" s="57">
        <f>SUM(AH7:AH66)</f>
        <v>108</v>
      </c>
      <c r="AI67" s="57">
        <f>SUM(AI7:AI66)</f>
        <v>218</v>
      </c>
      <c r="AJ67" s="57">
        <f>SUM(AJ7:AJ66)</f>
        <v>89</v>
      </c>
      <c r="AK67" s="57">
        <f>SUM(AK7:AK66)</f>
        <v>0</v>
      </c>
      <c r="AL67" s="57">
        <f>SUM(AL7:AL66)</f>
        <v>120</v>
      </c>
      <c r="AM67" s="57">
        <f>SUM(AM7:AM66)</f>
        <v>329070</v>
      </c>
      <c r="AN67" s="57">
        <f>SUM(AN7:AN66)</f>
        <v>25765</v>
      </c>
      <c r="AO67" s="57">
        <f>SUM(AO7:AO66)</f>
        <v>27252</v>
      </c>
      <c r="AP67" s="57">
        <f>SUM(AP7:AP66)</f>
        <v>21828</v>
      </c>
      <c r="AQ67" s="57">
        <f>SUM(AQ7:AQ66)</f>
        <v>26436</v>
      </c>
      <c r="AR67" s="57">
        <f>SUM(AR7:AR66)</f>
        <v>519174</v>
      </c>
      <c r="AS67" s="57">
        <f>SUM(AS7:AS66)</f>
        <v>112316</v>
      </c>
      <c r="AT67" s="57">
        <f>SUM(AT7:AT66)</f>
        <v>406858</v>
      </c>
      <c r="AU67" s="57">
        <f>SUM(AU7:AU66)</f>
        <v>117220</v>
      </c>
      <c r="AV67" s="57">
        <f>SUM(AV7:AV66)</f>
        <v>13534</v>
      </c>
      <c r="AW67" s="57">
        <f>SUM(AW7:AW66)</f>
        <v>96112</v>
      </c>
      <c r="AX67" s="57">
        <f>SUM(AX7:AX66)</f>
        <v>96112</v>
      </c>
      <c r="AY67" s="57">
        <f>SUM(AY7:AY66)</f>
        <v>2609</v>
      </c>
      <c r="AZ67" s="57">
        <f>SUM(AZ7:AZ66)</f>
        <v>1682</v>
      </c>
      <c r="BA67" s="57">
        <f>SUM(BA7:BA66)</f>
        <v>22679</v>
      </c>
      <c r="BB67" s="57">
        <f>SUM(BB7:BB66)</f>
        <v>62379</v>
      </c>
      <c r="BC67" s="57">
        <f>SUM(BC7:BC66)</f>
        <v>26</v>
      </c>
      <c r="BD67" s="57">
        <f>SUM(BD7:BD66)</f>
        <v>664365</v>
      </c>
      <c r="BE67" s="57">
        <f>SUM(BE7:BE66)</f>
        <v>126019</v>
      </c>
      <c r="BF67" s="57">
        <f>SUM(BF7:BF66)</f>
        <v>8620</v>
      </c>
      <c r="BG67" s="57">
        <f>SUM(BG7:BG66)</f>
        <v>25</v>
      </c>
      <c r="BH67" s="57">
        <f>SUM(BH7:BH66)</f>
        <v>147173.2</v>
      </c>
      <c r="BI67" s="57">
        <f>SUM(BI7:BI66)</f>
        <v>88843.15</v>
      </c>
      <c r="BJ67" s="57">
        <f>SUM(BJ7:BJ66)</f>
        <v>32</v>
      </c>
      <c r="BK67" s="57">
        <f>SUM(BK7:BK66)</f>
        <v>214488.62999999998</v>
      </c>
      <c r="BL67" s="57">
        <f>SUM(BL7:BL66)</f>
        <v>146255.49</v>
      </c>
      <c r="BM67" s="57">
        <f>SUM(BM7:BM66)</f>
        <v>3</v>
      </c>
      <c r="BN67" s="57">
        <f>SUM(BN7:BN66)</f>
        <v>47667.700000000004</v>
      </c>
      <c r="BO67" s="57">
        <f>SUM(BO7:BO66)</f>
        <v>29233.1</v>
      </c>
      <c r="BP67" s="57">
        <f>SUM(BP7:BP66)</f>
        <v>0</v>
      </c>
      <c r="BQ67" s="57">
        <f>SUM(BQ7:BQ66)</f>
        <v>134</v>
      </c>
      <c r="BR67" s="57">
        <f>SUM(BR7:BR66)</f>
        <v>48682</v>
      </c>
      <c r="BS67" s="57">
        <f>SUM(BS7:BS66)</f>
        <v>153080</v>
      </c>
      <c r="BT67" s="57">
        <f>SUM(BT7:BT66)</f>
        <v>104</v>
      </c>
      <c r="BU67" s="57">
        <f>SUM(BU7:BU66)</f>
        <v>147822</v>
      </c>
      <c r="BV67" s="57">
        <f>SUM(BV7:BV66)</f>
        <v>20202.760000000017</v>
      </c>
      <c r="BW67" s="57">
        <f>SUM(BW7:BW66)</f>
        <v>9810.869999999995</v>
      </c>
      <c r="BX67" s="57">
        <f>SUM(BX7:BX66)</f>
        <v>63688.34999999998</v>
      </c>
      <c r="BY67" s="57">
        <f>SUM(BY7:BY66)</f>
        <v>118</v>
      </c>
      <c r="BZ67" s="57">
        <f>SUM(BZ7:BZ66)</f>
        <v>5</v>
      </c>
      <c r="CA67" s="57">
        <f>SUM(CA7:CA66)</f>
        <v>5</v>
      </c>
      <c r="CB67" s="57">
        <f>SUM(CB7:CB66)</f>
        <v>5</v>
      </c>
      <c r="CC67" s="57">
        <f>SUM(CC7:CC66)</f>
        <v>43</v>
      </c>
      <c r="CD67" s="57">
        <f>SUM(CD7:CD66)</f>
        <v>31125.829999999998</v>
      </c>
      <c r="CE67" s="57">
        <f>SUM(CE7:CE66)</f>
        <v>47338.81000000001</v>
      </c>
      <c r="CF67" s="57">
        <f>SUM(CF7:CF66)</f>
        <v>331.57000000000016</v>
      </c>
      <c r="CG67" s="57">
        <f>SUM(CG7:CG66)</f>
        <v>6300.57</v>
      </c>
      <c r="CH67" s="57">
        <f>SUM(CH7:CH66)</f>
        <v>85314.76</v>
      </c>
      <c r="CI67" s="57">
        <f>SUM(CI7:CI66)</f>
        <v>0</v>
      </c>
      <c r="CJ67" s="57">
        <f>SUM(CJ7:CJ66)</f>
        <v>95878.13</v>
      </c>
      <c r="CK67" s="57">
        <f>SUM(CK7:CK66)</f>
        <v>2517.82</v>
      </c>
      <c r="CL67" s="57">
        <f>SUM(CL7:CL66)</f>
        <v>3289.0400000000004</v>
      </c>
      <c r="CM67" s="57">
        <f>SUM(CM7:CM66)</f>
        <v>272096.5299999999</v>
      </c>
      <c r="CN67" s="57">
        <f>SUM(CN7:CN66)</f>
        <v>234915</v>
      </c>
      <c r="CO67" s="57">
        <f>SUM(CO7:CO66)</f>
        <v>135326</v>
      </c>
      <c r="CP67" s="140"/>
      <c r="CQ67" s="57">
        <f>SUM(CQ7:CQ19,CQ20:CQ39,CQ41:CQ44)</f>
        <v>0</v>
      </c>
      <c r="CR67" s="57">
        <f>SUM(CR7:CR19,CR20:CR39,CR41:CR44)</f>
        <v>0</v>
      </c>
      <c r="CS67" s="57">
        <f>SUM(CS7:CS19,CS20:CS39,CS41:CS44)</f>
        <v>0</v>
      </c>
      <c r="CT67" s="140"/>
      <c r="CU67" s="102"/>
      <c r="CV67" s="57">
        <f>SUM(CV7:CV66)</f>
        <v>6</v>
      </c>
      <c r="CW67" s="57">
        <f>SUM(CW7:CW66)</f>
        <v>112316</v>
      </c>
      <c r="CX67" s="57">
        <f>SUM(CX7:CX66)</f>
        <v>54</v>
      </c>
      <c r="CY67" s="57">
        <f>SUM(CY7:CY66)</f>
        <v>406858</v>
      </c>
      <c r="CZ67" s="57">
        <f>SUM(CZ7:CZ66)</f>
        <v>60</v>
      </c>
      <c r="DA67" s="57">
        <f>SUM(DA7:DA66)</f>
        <v>519174</v>
      </c>
      <c r="DB67" s="102"/>
      <c r="DC67" s="102"/>
      <c r="DD67" s="102"/>
      <c r="DE67" s="102"/>
      <c r="DF67" s="102"/>
      <c r="DG67" s="102"/>
      <c r="DH67" s="102"/>
      <c r="DI67" s="102"/>
    </row>
    <row r="68" spans="2:113" s="33" customFormat="1" ht="12.75">
      <c r="B68" s="16"/>
      <c r="C68" s="141"/>
      <c r="D68" s="17"/>
      <c r="E68" s="18"/>
      <c r="F68" s="18"/>
      <c r="G68" s="30"/>
      <c r="H68" s="17"/>
      <c r="I68" s="17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142"/>
      <c r="CQ68" s="30"/>
      <c r="CR68" s="30"/>
      <c r="CS68" s="30"/>
      <c r="CT68" s="142"/>
      <c r="CU68" s="5"/>
      <c r="CV68" s="30"/>
      <c r="CW68" s="30"/>
      <c r="CX68" s="30"/>
      <c r="CY68" s="30"/>
      <c r="CZ68" s="30"/>
      <c r="DA68" s="30"/>
      <c r="DB68" s="5"/>
      <c r="DC68" s="5"/>
      <c r="DD68" s="5"/>
      <c r="DE68" s="5"/>
      <c r="DF68" s="5"/>
      <c r="DG68" s="5"/>
      <c r="DH68" s="5"/>
      <c r="DI68" s="5"/>
    </row>
    <row r="69" spans="2:105" s="102" customFormat="1" ht="12.75">
      <c r="B69" s="19"/>
      <c r="C69" s="20" t="s">
        <v>15</v>
      </c>
      <c r="D69" s="21"/>
      <c r="E69" s="22"/>
      <c r="F69" s="22"/>
      <c r="G69" s="44">
        <f>G70+G71+G72+G73+G74+G75+G76</f>
        <v>45</v>
      </c>
      <c r="H69" s="21"/>
      <c r="I69" s="21"/>
      <c r="J69" s="44">
        <f>J70+J71+J72+J73+J74+J75+J76</f>
        <v>1646085</v>
      </c>
      <c r="K69" s="44">
        <f>K70+K71+K72+K73+K74+K75+K76</f>
        <v>82135</v>
      </c>
      <c r="L69" s="44"/>
      <c r="M69" s="44">
        <f>M70+M71+M72+M73+M74+M75+M76</f>
        <v>65020</v>
      </c>
      <c r="N69" s="44">
        <f>N70+N71+N72+N73+N74+N75+N76</f>
        <v>27793</v>
      </c>
      <c r="O69" s="44">
        <f>O70+O71+O72+O73+O74+O75+O76</f>
        <v>6592</v>
      </c>
      <c r="P69" s="44">
        <f>P70+P71+P72+P73+P74+P75+P76</f>
        <v>13118</v>
      </c>
      <c r="Q69" s="44">
        <f>Q70+Q71+Q72+Q73+Q74+Q75+Q76</f>
        <v>6350</v>
      </c>
      <c r="R69" s="44">
        <f>R70+R71+R72+R73+R74+R75+R76</f>
        <v>12178</v>
      </c>
      <c r="S69" s="104">
        <f>S70+S71+S72+S73+S74+S75+S76</f>
        <v>324497.18999999994</v>
      </c>
      <c r="T69" s="44">
        <f>T70+T71+T72+T73+T74+T75+T76</f>
        <v>202481.66000000003</v>
      </c>
      <c r="U69" s="44">
        <f>U70+U71+U72+U73+U74+U75+U76</f>
        <v>4815</v>
      </c>
      <c r="V69" s="44">
        <f>V70+V71+V72+V73+V74+V75+V76</f>
        <v>263673.01</v>
      </c>
      <c r="W69" s="44">
        <f>W70+W71+W72+W73+W74+W75+W76</f>
        <v>162783.51</v>
      </c>
      <c r="X69" s="44">
        <f>X70+X71+X72+X73+X74+X75+X76</f>
        <v>1777</v>
      </c>
      <c r="Y69" s="44">
        <f>Y70+Y71+Y72+Y73+Y74+Y75+Y76</f>
        <v>60824.18</v>
      </c>
      <c r="Z69" s="44">
        <f>Z70+Z71+Z72+Z73+Z74+Z75+Z76</f>
        <v>39698.15</v>
      </c>
      <c r="AA69" s="44">
        <f>AA70+AA71+AA72+AA73+AA74+AA75+AA76</f>
        <v>37590.840000000004</v>
      </c>
      <c r="AB69" s="44">
        <f>AB70+AB71+AB72+AB73+AB74+AB75+AB76</f>
        <v>28912.529999999995</v>
      </c>
      <c r="AC69" s="44">
        <f>AC70+AC71+AC72+AC73+AC74+AC75+AC76</f>
        <v>0</v>
      </c>
      <c r="AD69" s="44">
        <f>AD70+AD71+AD72+AD73+AD74+AD75+AD76</f>
        <v>28912.529999999995</v>
      </c>
      <c r="AE69" s="44">
        <f>AE70+AE71+AE72+AE73+AE74+AE75+AE76</f>
        <v>8678.31</v>
      </c>
      <c r="AF69" s="44">
        <f>AF70+AF71+AF72+AF73+AF74+AF75+AF76</f>
        <v>362088.03</v>
      </c>
      <c r="AG69" s="44">
        <f>AG70+AG71+AG72+AG73+AG74+AG75+AG76</f>
        <v>0</v>
      </c>
      <c r="AH69" s="44">
        <f>AH70+AH71+AH72+AH73+AH74+AH75+AH76</f>
        <v>84</v>
      </c>
      <c r="AI69" s="44">
        <f>AI70+AI71+AI72+AI73+AI74+AI75+AI76</f>
        <v>186</v>
      </c>
      <c r="AJ69" s="44">
        <f>AJ70+AJ71+AJ72+AJ73+AJ74+AJ75+AJ76</f>
        <v>74</v>
      </c>
      <c r="AK69" s="44">
        <f>AK70+AK71+AK72+AK73+AK74+AK75+AK76</f>
        <v>0</v>
      </c>
      <c r="AL69" s="44">
        <f>AL70+AL71+AL72+AL73+AL74+AL75+AL76</f>
        <v>105</v>
      </c>
      <c r="AM69" s="44">
        <f>AM70+AM71+AM72+AM73+AM74+AM75+AM76</f>
        <v>272815</v>
      </c>
      <c r="AN69" s="44">
        <f>AN70+AN71+AN72+AN73+AN74+AN75+AN76</f>
        <v>25765</v>
      </c>
      <c r="AO69" s="44">
        <f>AO70+AO71+AO72+AO73+AO74+AO75+AO76</f>
        <v>22353</v>
      </c>
      <c r="AP69" s="44">
        <f>AP70+AP71+AP72+AP73+AP74+AP75+AP76</f>
        <v>17461</v>
      </c>
      <c r="AQ69" s="44">
        <f>AQ70+AQ71+AQ72+AQ73+AQ74+AQ75+AQ76</f>
        <v>12951</v>
      </c>
      <c r="AR69" s="44">
        <f>AR70+AR71+AR72+AR73+AR74+AR75+AR76</f>
        <v>405835</v>
      </c>
      <c r="AS69" s="44">
        <f>AS70+AS71+AS72+AS73+AS74+AS75+AS76</f>
        <v>112316</v>
      </c>
      <c r="AT69" s="44">
        <f>AT70+AT71+AT72+AT73+AT74+AT75+AT76</f>
        <v>293519</v>
      </c>
      <c r="AU69" s="44">
        <f>AU70+AU71+AU72+AU73+AU74+AU75+AU76</f>
        <v>77775</v>
      </c>
      <c r="AV69" s="44">
        <f>AV70+AV71+AV72+AV73+AV74+AV75+AV76</f>
        <v>10367</v>
      </c>
      <c r="AW69" s="44">
        <f>AW70+AW71+AW72+AW73+AW74+AW75+AW76</f>
        <v>78553</v>
      </c>
      <c r="AX69" s="44">
        <f>AX70+AX71+AX72+AX73+AX74+AX75+AX76</f>
        <v>78553</v>
      </c>
      <c r="AY69" s="44">
        <f>AY70+AY71+AY72+AY73+AY74+AY75+AY76</f>
        <v>1791</v>
      </c>
      <c r="AZ69" s="44">
        <f>AZ70+AZ71+AZ72+AZ73+AZ74+AZ75+AZ76</f>
        <v>777</v>
      </c>
      <c r="BA69" s="44">
        <f>BA70+BA71+BA72+BA73+BA74+BA75+BA76</f>
        <v>17426</v>
      </c>
      <c r="BB69" s="44">
        <f>BB70+BB71+BB72+BB73+BB74+BB75+BB76</f>
        <v>47593</v>
      </c>
      <c r="BC69" s="44">
        <f>BC70+BC71+BC72+BC73+BC74+BC75+BC76</f>
        <v>11</v>
      </c>
      <c r="BD69" s="44">
        <f>BD70+BD71+BD72+BD73+BD74+BD75+BD76</f>
        <v>523113</v>
      </c>
      <c r="BE69" s="44">
        <f>BE70+BE71+BE72+BE73+BE74+BE75+BE76</f>
        <v>121394</v>
      </c>
      <c r="BF69" s="44">
        <f>BF70+BF71+BF72+BF73+BF74+BF75+BF76</f>
        <v>6220</v>
      </c>
      <c r="BG69" s="44">
        <f>BG70+BG71+BG72+BG73+BG74+BG75+BG76</f>
        <v>22</v>
      </c>
      <c r="BH69" s="44">
        <f>BH70+BH71+BH72+BH73+BH74+BH75+BH76</f>
        <v>140917.58</v>
      </c>
      <c r="BI69" s="44">
        <f>BI70+BI71+BI72+BI73+BI74+BI75+BI76</f>
        <v>84171.79000000001</v>
      </c>
      <c r="BJ69" s="44">
        <f>BJ70+BJ71+BJ72+BJ73+BJ74+BJ75+BJ76</f>
        <v>20</v>
      </c>
      <c r="BK69" s="44">
        <f>BK70+BK71+BK72+BK73+BK74+BK75+BK76</f>
        <v>135911.90999999997</v>
      </c>
      <c r="BL69" s="44">
        <f>BL70+BL71+BL72+BL73+BL74+BL75+BL76</f>
        <v>89076.76999999999</v>
      </c>
      <c r="BM69" s="44">
        <f>BM70+BM71+BM72+BM73+BM74+BM75+BM76</f>
        <v>3</v>
      </c>
      <c r="BN69" s="44">
        <f>BN70+BN71+BN72+BN73+BN74+BN75+BN76</f>
        <v>47667.700000000004</v>
      </c>
      <c r="BO69" s="44">
        <f>BO70+BO71+BO72+BO73+BO74+BO75+BO76</f>
        <v>29233.1</v>
      </c>
      <c r="BP69" s="44">
        <f>BP70+BP71+BP72+BP73+BP74+BP75+BP76</f>
        <v>0</v>
      </c>
      <c r="BQ69" s="44">
        <f>BQ70+BQ71+BQ72+BQ73+BQ74+BQ75+BQ76</f>
        <v>131</v>
      </c>
      <c r="BR69" s="44">
        <f>BR70+BR71+BR72+BR73+BR74+BR75+BR76</f>
        <v>48682</v>
      </c>
      <c r="BS69" s="44">
        <f>BS70+BS71+BS72+BS73+BS74+BS75+BS76</f>
        <v>153080</v>
      </c>
      <c r="BT69" s="44">
        <f>BT70+BT71+BT72+BT73+BT74+BT75+BT76</f>
        <v>0</v>
      </c>
      <c r="BU69" s="44">
        <f>BU70+BU71+BU72+BU73+BU74+BU75+BU76</f>
        <v>140017</v>
      </c>
      <c r="BV69" s="44">
        <f>BV70+BV71+BV72+BV73+BV74+BV75+BV76</f>
        <v>17612.6</v>
      </c>
      <c r="BW69" s="44">
        <f>BW70+BW71+BW72+BW73+BW74+BW75+BW76</f>
        <v>8399.19</v>
      </c>
      <c r="BX69" s="44">
        <f>BX70+BX71+BX72+BX73+BX74+BX75+BX76</f>
        <v>33732.43</v>
      </c>
      <c r="BY69" s="44">
        <f>BY70+BY71+BY72+BY73+BY74+BY75+BY76</f>
        <v>114</v>
      </c>
      <c r="BZ69" s="44">
        <f>BZ70+BZ71+BZ72+BZ73+BZ74+BZ75+BZ76</f>
        <v>5</v>
      </c>
      <c r="CA69" s="44">
        <f>CA70+CA71+CA72+CA73+CA74+CA75+CA76</f>
        <v>5</v>
      </c>
      <c r="CB69" s="44">
        <f>CB70+CB71+CB72+CB73+CB74+CB75+CB76</f>
        <v>5</v>
      </c>
      <c r="CC69" s="44">
        <f>CC70+CC71+CC72+CC73+CC74+CC75+CC76</f>
        <v>43</v>
      </c>
      <c r="CD69" s="44">
        <f>CD70+CD71+CD72+CD73+CD74+CD75+CD76</f>
        <v>27619.44</v>
      </c>
      <c r="CE69" s="44">
        <f>CE70+CE71+CE72+CE73+CE74+CE75+CE76</f>
        <v>26456.310000000005</v>
      </c>
      <c r="CF69" s="44">
        <f>CF70+CF71+CF72+CF73+CF74+CF75+CF76</f>
        <v>274.58000000000004</v>
      </c>
      <c r="CG69" s="44">
        <f>CG70+CG71+CG72+CG73+CG74+CG75+CG76</f>
        <v>2225.23</v>
      </c>
      <c r="CH69" s="44">
        <f>CH70+CH71+CH72+CH73+CH74+CH75+CH76</f>
        <v>74813.61</v>
      </c>
      <c r="CI69" s="44">
        <f>CI70+CI71+CI72+CI73+CI74+CI75+CI76</f>
        <v>0</v>
      </c>
      <c r="CJ69" s="44">
        <f>CJ70+CJ71+CJ72+CJ73+CJ74+CJ75+CJ76</f>
        <v>78318.13</v>
      </c>
      <c r="CK69" s="44">
        <f>CK70+CK71+CK72+CK73+CK74+CK75+CK76</f>
        <v>2018.2200000000003</v>
      </c>
      <c r="CL69" s="44">
        <f>CL70+CL71+CL72+CL73+CL74+CL75+CL76</f>
        <v>1491.5</v>
      </c>
      <c r="CM69" s="44">
        <f>CM70+CM71+CM72+CM73+CM74+CM75+CM76</f>
        <v>213217.02</v>
      </c>
      <c r="CN69" s="44">
        <f>CN70+CN71+CN72+CN73+CN74+CN75+CN76</f>
        <v>193821</v>
      </c>
      <c r="CO69" s="44">
        <f>CO70+CO71+CO72+CO73+CO74+CO75+CO76</f>
        <v>111686</v>
      </c>
      <c r="CP69" s="143"/>
      <c r="CQ69" s="44">
        <f>CQ70+CQ71+CQ72+CQ73+CQ74+CQ75+CQ76</f>
        <v>0</v>
      </c>
      <c r="CR69" s="44">
        <f>CR70+CR71+CR72+CR73+CR74+CR75+CR76</f>
        <v>0</v>
      </c>
      <c r="CS69" s="44">
        <f>CS70+CS71+CS72+CS73+CS74+CS75+CS76</f>
        <v>0</v>
      </c>
      <c r="CT69" s="143"/>
      <c r="CV69" s="44">
        <f>CV70+CV71+CV72+CV73+CV74+CV75+CV76</f>
        <v>6</v>
      </c>
      <c r="CW69" s="44">
        <f>CW70+CW71+CW72+CW73+CW74+CW75+CW76</f>
        <v>112316</v>
      </c>
      <c r="CX69" s="44">
        <f>CX70+CX71+CX72+CX73+CX74+CX75+CX76</f>
        <v>39</v>
      </c>
      <c r="CY69" s="44">
        <f>CY70+CY71+CY72+CY73+CY74+CY75+CY76</f>
        <v>293519</v>
      </c>
      <c r="CZ69" s="44">
        <f>CZ70+CZ71+CZ72+CZ73+CZ74+CZ75+CZ76</f>
        <v>45</v>
      </c>
      <c r="DA69" s="44">
        <f>DA70+DA71+DA72+DA73+DA74+DA75+DA76</f>
        <v>405835</v>
      </c>
    </row>
    <row r="70" spans="2:105" s="5" customFormat="1" ht="12.75">
      <c r="B70" s="23"/>
      <c r="C70" s="24" t="s">
        <v>10</v>
      </c>
      <c r="D70" s="17"/>
      <c r="E70" s="18"/>
      <c r="F70" s="18"/>
      <c r="G70" s="30"/>
      <c r="H70" s="144">
        <v>5</v>
      </c>
      <c r="I70" s="25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142"/>
      <c r="CQ70" s="30"/>
      <c r="CR70" s="30"/>
      <c r="CS70" s="30"/>
      <c r="CT70" s="142"/>
      <c r="CV70" s="30"/>
      <c r="CW70" s="30"/>
      <c r="CX70" s="30"/>
      <c r="CY70" s="30"/>
      <c r="CZ70" s="30"/>
      <c r="DA70" s="30"/>
    </row>
    <row r="71" spans="2:105" s="5" customFormat="1" ht="12.75">
      <c r="B71" s="23"/>
      <c r="C71" s="24" t="s">
        <v>11</v>
      </c>
      <c r="D71" s="17"/>
      <c r="E71" s="18"/>
      <c r="F71" s="18"/>
      <c r="G71" s="30">
        <f>G37+G38</f>
        <v>2</v>
      </c>
      <c r="H71" s="144">
        <v>9</v>
      </c>
      <c r="I71" s="25"/>
      <c r="J71" s="30">
        <f>J37+J38</f>
        <v>32845</v>
      </c>
      <c r="K71" s="30">
        <f>K37+K38</f>
        <v>2415</v>
      </c>
      <c r="L71" s="30"/>
      <c r="M71" s="30">
        <f>M37+M38</f>
        <v>0</v>
      </c>
      <c r="N71" s="30">
        <f>N37+N38</f>
        <v>2302</v>
      </c>
      <c r="O71" s="30">
        <f>O37+O38</f>
        <v>159</v>
      </c>
      <c r="P71" s="30">
        <f>P37+P38</f>
        <v>351</v>
      </c>
      <c r="Q71" s="30">
        <f>Q37+Q38</f>
        <v>160</v>
      </c>
      <c r="R71" s="30">
        <f>R37+R38</f>
        <v>307</v>
      </c>
      <c r="S71" s="30">
        <f>S37+S38</f>
        <v>8299.7</v>
      </c>
      <c r="T71" s="30">
        <f>T37+T38</f>
        <v>4773.4</v>
      </c>
      <c r="U71" s="30">
        <f>U37+U38</f>
        <v>137</v>
      </c>
      <c r="V71" s="30">
        <f>V37+V38</f>
        <v>7049.7</v>
      </c>
      <c r="W71" s="30">
        <f>W37+W38</f>
        <v>4030.9</v>
      </c>
      <c r="X71" s="30">
        <f>X37+X38</f>
        <v>22</v>
      </c>
      <c r="Y71" s="30">
        <f>Y37+Y38</f>
        <v>1250.0000000000005</v>
      </c>
      <c r="Z71" s="30">
        <f>Z37+Z38</f>
        <v>742.5</v>
      </c>
      <c r="AA71" s="30">
        <f>AA37+AA38</f>
        <v>1347.5</v>
      </c>
      <c r="AB71" s="30">
        <f>AB37+AB38</f>
        <v>1347.5</v>
      </c>
      <c r="AC71" s="30">
        <f>AC37+AC38</f>
        <v>0</v>
      </c>
      <c r="AD71" s="30">
        <f>AD37+AD38</f>
        <v>1347.5</v>
      </c>
      <c r="AE71" s="30">
        <f>AE37+AE38</f>
        <v>0</v>
      </c>
      <c r="AF71" s="30">
        <f>AF37+AF38</f>
        <v>9647.2</v>
      </c>
      <c r="AG71" s="30">
        <f>AG37+AG38</f>
        <v>0</v>
      </c>
      <c r="AH71" s="30">
        <f>AH37+AH38</f>
        <v>5</v>
      </c>
      <c r="AI71" s="30">
        <f>AI37+AI38</f>
        <v>5</v>
      </c>
      <c r="AJ71" s="30">
        <f>AJ37+AJ38</f>
        <v>5</v>
      </c>
      <c r="AK71" s="30">
        <f>AK37+AK38</f>
        <v>0</v>
      </c>
      <c r="AL71" s="30">
        <f>AL37+AL38</f>
        <v>5</v>
      </c>
      <c r="AM71" s="30">
        <f>AM37+AM38</f>
        <v>9360</v>
      </c>
      <c r="AN71" s="30">
        <f>AN37+AN38</f>
        <v>1166</v>
      </c>
      <c r="AO71" s="30">
        <f>AO37+AO38</f>
        <v>555</v>
      </c>
      <c r="AP71" s="30">
        <f>AP37+AP38</f>
        <v>496</v>
      </c>
      <c r="AQ71" s="30">
        <f>AQ37+AQ38</f>
        <v>350</v>
      </c>
      <c r="AR71" s="30">
        <f>AR37+AR38</f>
        <v>10600</v>
      </c>
      <c r="AS71" s="30">
        <f>AS37+AS38</f>
        <v>0</v>
      </c>
      <c r="AT71" s="30">
        <f>AT37+AT38</f>
        <v>10600</v>
      </c>
      <c r="AU71" s="30">
        <f>AU37+AU38</f>
        <v>0</v>
      </c>
      <c r="AV71" s="30">
        <f>AV37+AV38</f>
        <v>469</v>
      </c>
      <c r="AW71" s="30">
        <f>AW37+AW38</f>
        <v>2090</v>
      </c>
      <c r="AX71" s="30">
        <f>AX37+AX38</f>
        <v>2090</v>
      </c>
      <c r="AY71" s="30">
        <f>AY37+AY38</f>
        <v>0</v>
      </c>
      <c r="AZ71" s="30">
        <f>AZ37+AZ38</f>
        <v>10</v>
      </c>
      <c r="BA71" s="30">
        <f>BA37+BA38</f>
        <v>493</v>
      </c>
      <c r="BB71" s="30">
        <f>BB37+BB38</f>
        <v>1238</v>
      </c>
      <c r="BC71" s="30">
        <f>BC37+BC38</f>
        <v>0</v>
      </c>
      <c r="BD71" s="30">
        <f>BD37+BD38</f>
        <v>28500</v>
      </c>
      <c r="BE71" s="30">
        <f>BE37+BE38</f>
        <v>8175</v>
      </c>
      <c r="BF71" s="30">
        <f>BF37+BF38</f>
        <v>225</v>
      </c>
      <c r="BG71" s="30">
        <f>BG37+BG38</f>
        <v>2</v>
      </c>
      <c r="BH71" s="30">
        <f>BH37+BH38</f>
        <v>8299.7</v>
      </c>
      <c r="BI71" s="30">
        <f>BI37+BI38</f>
        <v>4773.4</v>
      </c>
      <c r="BJ71" s="30">
        <f>BJ37+BJ38</f>
        <v>0</v>
      </c>
      <c r="BK71" s="30">
        <f>BK37+BK38</f>
        <v>0</v>
      </c>
      <c r="BL71" s="30">
        <f>BL37+BL38</f>
        <v>0</v>
      </c>
      <c r="BM71" s="30">
        <f>BM37+BM38</f>
        <v>0</v>
      </c>
      <c r="BN71" s="30">
        <f>BN37+BN38</f>
        <v>0</v>
      </c>
      <c r="BO71" s="30">
        <f>BO37+BO38</f>
        <v>0</v>
      </c>
      <c r="BP71" s="30">
        <f>BP37+BP38</f>
        <v>0</v>
      </c>
      <c r="BQ71" s="30">
        <f>BQ37+BQ38</f>
        <v>4</v>
      </c>
      <c r="BR71" s="30">
        <f>BR37+BR38</f>
        <v>2090</v>
      </c>
      <c r="BS71" s="30">
        <f>BS37+BS38</f>
        <v>17159</v>
      </c>
      <c r="BT71" s="30">
        <f>BT37+BT38</f>
        <v>0</v>
      </c>
      <c r="BU71" s="30">
        <f>BU37+BU38</f>
        <v>9360</v>
      </c>
      <c r="BV71" s="30">
        <f>BV37+BV38</f>
        <v>1541.1000000000001</v>
      </c>
      <c r="BW71" s="30">
        <f>BW37+BW38</f>
        <v>278.4</v>
      </c>
      <c r="BX71" s="30">
        <f>BX37+BX38</f>
        <v>0</v>
      </c>
      <c r="BY71" s="30">
        <f>BY37+BY38</f>
        <v>4</v>
      </c>
      <c r="BZ71" s="30">
        <f>BZ37+BZ38</f>
        <v>0</v>
      </c>
      <c r="CA71" s="30">
        <f>CA37+CA38</f>
        <v>0</v>
      </c>
      <c r="CB71" s="30">
        <f>CB37+CB38</f>
        <v>0</v>
      </c>
      <c r="CC71" s="30">
        <f>CC37+CC38</f>
        <v>0</v>
      </c>
      <c r="CD71" s="30">
        <f>CD37+CD38</f>
        <v>1812.7</v>
      </c>
      <c r="CE71" s="30">
        <f>CE37+CE38</f>
        <v>0</v>
      </c>
      <c r="CF71" s="30">
        <f>CF37+CF38</f>
        <v>13.200000000000001</v>
      </c>
      <c r="CG71" s="30">
        <f>CG37+CG38</f>
        <v>0</v>
      </c>
      <c r="CH71" s="30">
        <f>CH37+CH38</f>
        <v>1202.6000000000001</v>
      </c>
      <c r="CI71" s="30">
        <f>CI37+CI38</f>
        <v>0</v>
      </c>
      <c r="CJ71" s="30">
        <f>CJ37+CJ38</f>
        <v>2090</v>
      </c>
      <c r="CK71" s="30">
        <f>CK37+CK38</f>
        <v>43.599999999999994</v>
      </c>
      <c r="CL71" s="30">
        <f>CL37+CL38</f>
        <v>52.8</v>
      </c>
      <c r="CM71" s="30">
        <f>CM37+CM38</f>
        <v>5214.9</v>
      </c>
      <c r="CN71" s="30">
        <f>CN37+CN38</f>
        <v>6381</v>
      </c>
      <c r="CO71" s="30">
        <f>CO37+CO38</f>
        <v>3966</v>
      </c>
      <c r="CP71" s="142"/>
      <c r="CQ71" s="30">
        <f>CQ37+CQ38</f>
        <v>0</v>
      </c>
      <c r="CR71" s="30">
        <f>CR37+CR38</f>
        <v>0</v>
      </c>
      <c r="CS71" s="30">
        <f>CS37+CS38</f>
        <v>0</v>
      </c>
      <c r="CT71" s="142"/>
      <c r="CV71" s="30">
        <f>CV37+CV38</f>
        <v>0</v>
      </c>
      <c r="CW71" s="30">
        <f>CW37+CW38</f>
        <v>0</v>
      </c>
      <c r="CX71" s="30">
        <f>CX37+CX38</f>
        <v>2</v>
      </c>
      <c r="CY71" s="30">
        <f>CY37+CY38</f>
        <v>10600</v>
      </c>
      <c r="CZ71" s="30">
        <f>CZ37+CZ38</f>
        <v>2</v>
      </c>
      <c r="DA71" s="30">
        <f>DA37+DA38</f>
        <v>10600</v>
      </c>
    </row>
    <row r="72" spans="2:105" s="5" customFormat="1" ht="12.75">
      <c r="B72" s="23"/>
      <c r="C72" s="24" t="s">
        <v>12</v>
      </c>
      <c r="D72" s="17"/>
      <c r="E72" s="18"/>
      <c r="F72" s="18"/>
      <c r="G72" s="30">
        <f>G9</f>
        <v>1</v>
      </c>
      <c r="H72" s="144">
        <v>9</v>
      </c>
      <c r="I72" s="25"/>
      <c r="J72" s="30">
        <f>J9</f>
        <v>17018</v>
      </c>
      <c r="K72" s="30">
        <f>K9</f>
        <v>706</v>
      </c>
      <c r="L72" s="30"/>
      <c r="M72" s="30">
        <f>M9</f>
        <v>0</v>
      </c>
      <c r="N72" s="30">
        <f>N9</f>
        <v>695</v>
      </c>
      <c r="O72" s="30">
        <f>O9</f>
        <v>62</v>
      </c>
      <c r="P72" s="30">
        <f>P9</f>
        <v>169</v>
      </c>
      <c r="Q72" s="30">
        <f>Q9</f>
        <v>62</v>
      </c>
      <c r="R72" s="30">
        <f>R9</f>
        <v>142</v>
      </c>
      <c r="S72" s="30">
        <f>S9</f>
        <v>4417.7</v>
      </c>
      <c r="T72" s="30">
        <f>T9</f>
        <v>2632.7</v>
      </c>
      <c r="U72" s="30">
        <f>U9</f>
        <v>59</v>
      </c>
      <c r="V72" s="30">
        <f>V9</f>
        <v>4228.4</v>
      </c>
      <c r="W72" s="30">
        <f>W9</f>
        <v>2524.9</v>
      </c>
      <c r="X72" s="30">
        <f>X9</f>
        <v>3</v>
      </c>
      <c r="Y72" s="30">
        <f>Y9</f>
        <v>189.30000000000018</v>
      </c>
      <c r="Z72" s="30">
        <f>Z9</f>
        <v>107.79999999999973</v>
      </c>
      <c r="AA72" s="30">
        <f>AA9</f>
        <v>0</v>
      </c>
      <c r="AB72" s="30">
        <f>AB9</f>
        <v>0</v>
      </c>
      <c r="AC72" s="30">
        <f>AC9</f>
        <v>0</v>
      </c>
      <c r="AD72" s="30">
        <f>AD9</f>
        <v>0</v>
      </c>
      <c r="AE72" s="30">
        <f>AE9</f>
        <v>0</v>
      </c>
      <c r="AF72" s="30">
        <f>AF9</f>
        <v>4417.7</v>
      </c>
      <c r="AG72" s="30">
        <f>AG9</f>
        <v>0</v>
      </c>
      <c r="AH72" s="30">
        <f>AH9</f>
        <v>2</v>
      </c>
      <c r="AI72" s="30">
        <f>AI9</f>
        <v>2</v>
      </c>
      <c r="AJ72" s="30">
        <f>AJ9</f>
        <v>2</v>
      </c>
      <c r="AK72" s="30">
        <f>AK9</f>
        <v>0</v>
      </c>
      <c r="AL72" s="30">
        <f>AL9</f>
        <v>2</v>
      </c>
      <c r="AM72" s="30">
        <f>AM9</f>
        <v>3930</v>
      </c>
      <c r="AN72" s="30">
        <f>AN9</f>
        <v>0</v>
      </c>
      <c r="AO72" s="30">
        <f>AO9</f>
        <v>262</v>
      </c>
      <c r="AP72" s="30">
        <f>AP9</f>
        <v>157</v>
      </c>
      <c r="AQ72" s="30">
        <f>AQ9</f>
        <v>140</v>
      </c>
      <c r="AR72" s="30">
        <f>AR9</f>
        <v>7246</v>
      </c>
      <c r="AS72" s="30">
        <f>AS9</f>
        <v>7246</v>
      </c>
      <c r="AT72" s="30">
        <f>AT9</f>
        <v>0</v>
      </c>
      <c r="AU72" s="30">
        <f>AU9</f>
        <v>2140</v>
      </c>
      <c r="AV72" s="30">
        <f>AV9</f>
        <v>136</v>
      </c>
      <c r="AW72" s="30">
        <f>AW9</f>
        <v>663</v>
      </c>
      <c r="AX72" s="30">
        <f>AX9</f>
        <v>663</v>
      </c>
      <c r="AY72" s="30">
        <f>AY9</f>
        <v>34</v>
      </c>
      <c r="AZ72" s="30">
        <f>AZ9</f>
        <v>4</v>
      </c>
      <c r="BA72" s="30">
        <f>BA9</f>
        <v>231</v>
      </c>
      <c r="BB72" s="30">
        <f>BB9</f>
        <v>603</v>
      </c>
      <c r="BC72" s="30">
        <f>BC9</f>
        <v>2</v>
      </c>
      <c r="BD72" s="30">
        <f>BD9</f>
        <v>3570</v>
      </c>
      <c r="BE72" s="30">
        <f>BE9</f>
        <v>1400</v>
      </c>
      <c r="BF72" s="30">
        <f>BF9</f>
        <v>90</v>
      </c>
      <c r="BG72" s="30">
        <f>BG9</f>
        <v>0</v>
      </c>
      <c r="BH72" s="30">
        <f>BH9</f>
        <v>0</v>
      </c>
      <c r="BI72" s="30">
        <f>BI9</f>
        <v>0</v>
      </c>
      <c r="BJ72" s="30">
        <f>BJ9</f>
        <v>1</v>
      </c>
      <c r="BK72" s="30">
        <f>BK9</f>
        <v>4417.7</v>
      </c>
      <c r="BL72" s="30">
        <f>BL9</f>
        <v>2632.7</v>
      </c>
      <c r="BM72" s="30">
        <f>BM9</f>
        <v>0</v>
      </c>
      <c r="BN72" s="30">
        <f>BN9</f>
        <v>0</v>
      </c>
      <c r="BO72" s="30">
        <f>BO9</f>
        <v>0</v>
      </c>
      <c r="BP72" s="30">
        <f>BP9</f>
        <v>0</v>
      </c>
      <c r="BQ72" s="30">
        <f>BQ9</f>
        <v>2</v>
      </c>
      <c r="BR72" s="30">
        <f>BR9</f>
        <v>663</v>
      </c>
      <c r="BS72" s="30">
        <f>BS9</f>
        <v>6863</v>
      </c>
      <c r="BT72" s="30">
        <f>BT9</f>
        <v>0</v>
      </c>
      <c r="BU72" s="30">
        <f>BU9</f>
        <v>0</v>
      </c>
      <c r="BV72" s="30">
        <f>BV9</f>
        <v>490.78</v>
      </c>
      <c r="BW72" s="30">
        <f>BW9</f>
        <v>99.84</v>
      </c>
      <c r="BX72" s="30">
        <f>BX9</f>
        <v>0</v>
      </c>
      <c r="BY72" s="30">
        <f>BY9</f>
        <v>2</v>
      </c>
      <c r="BZ72" s="30">
        <f>BZ9</f>
        <v>0</v>
      </c>
      <c r="CA72" s="30">
        <f>CA9</f>
        <v>0</v>
      </c>
      <c r="CB72" s="30">
        <f>CB9</f>
        <v>0</v>
      </c>
      <c r="CC72" s="30">
        <f>CC9</f>
        <v>2</v>
      </c>
      <c r="CD72" s="30">
        <f>CD9</f>
        <v>453.7</v>
      </c>
      <c r="CE72" s="30">
        <f>CE9</f>
        <v>72</v>
      </c>
      <c r="CF72" s="30">
        <f>CF9</f>
        <v>5.2</v>
      </c>
      <c r="CG72" s="30">
        <f>CG9</f>
        <v>0</v>
      </c>
      <c r="CH72" s="30">
        <f>CH9</f>
        <v>609</v>
      </c>
      <c r="CI72" s="30">
        <f>CI9</f>
        <v>0</v>
      </c>
      <c r="CJ72" s="30">
        <f>CJ9</f>
        <v>663</v>
      </c>
      <c r="CK72" s="30">
        <f>CK9</f>
        <v>31.3</v>
      </c>
      <c r="CL72" s="30">
        <f>CL9</f>
        <v>12.2</v>
      </c>
      <c r="CM72" s="30">
        <f>CM9</f>
        <v>1846.4</v>
      </c>
      <c r="CN72" s="30">
        <f>CN9</f>
        <v>1646</v>
      </c>
      <c r="CO72" s="30">
        <f>CO9</f>
        <v>940</v>
      </c>
      <c r="CP72" s="142"/>
      <c r="CQ72" s="30">
        <f>CQ9</f>
        <v>0</v>
      </c>
      <c r="CR72" s="30">
        <f>CR9</f>
        <v>0</v>
      </c>
      <c r="CS72" s="30">
        <f>CS9</f>
        <v>0</v>
      </c>
      <c r="CT72" s="142"/>
      <c r="CV72" s="30">
        <f>CV9</f>
        <v>1</v>
      </c>
      <c r="CW72" s="30">
        <f>CW9</f>
        <v>7246</v>
      </c>
      <c r="CX72" s="30" t="str">
        <f>CX9</f>
        <v>0</v>
      </c>
      <c r="CY72" s="30">
        <f>CY9</f>
        <v>0</v>
      </c>
      <c r="CZ72" s="30">
        <f>CZ9</f>
        <v>1</v>
      </c>
      <c r="DA72" s="30">
        <f>DA9</f>
        <v>7246</v>
      </c>
    </row>
    <row r="73" spans="2:105" s="5" customFormat="1" ht="12.75">
      <c r="B73" s="23"/>
      <c r="C73" s="24" t="s">
        <v>13</v>
      </c>
      <c r="D73" s="17"/>
      <c r="E73" s="18"/>
      <c r="F73" s="18"/>
      <c r="G73" s="30">
        <f>G8+G10+G12+G13+G15+G17+G20+G21+G23+G26+G27+G28+G36+G39+G40</f>
        <v>15</v>
      </c>
      <c r="H73" s="144">
        <v>9</v>
      </c>
      <c r="I73" s="25"/>
      <c r="J73" s="30">
        <f>J8+J10+J12+J13+J15+J17+J20+J21+J23+J26+J27+J28+J36+J39+J40</f>
        <v>598841</v>
      </c>
      <c r="K73" s="30">
        <f>K8+K10+K12+K13+K15+K17+K20+K21+K23+K26+K27+K28+K36+K39+K40</f>
        <v>23176</v>
      </c>
      <c r="L73" s="30"/>
      <c r="M73" s="30">
        <f>M8+M10+M12+M13+M15+M17+M20+M21+M23+M26+M27+M28+M36+M39+M40</f>
        <v>0</v>
      </c>
      <c r="N73" s="30">
        <f>N8+N10+N12+N13+N15+N17+N20+N21+N23+N26+N27+N28+N36+N39+N40</f>
        <v>22166</v>
      </c>
      <c r="O73" s="30">
        <f>O8+O10+O12+O13+O15+O17+O20+O21+O23+O26+O27+O28+O36+O39+O40</f>
        <v>2105</v>
      </c>
      <c r="P73" s="30">
        <f>P8+P10+P12+P13+P15+P17+P20+P21+P23+P26+P27+P28+P36+P39+P40</f>
        <v>5539</v>
      </c>
      <c r="Q73" s="30">
        <f>Q8+Q10+Q12+Q13+Q15+Q17+Q20+Q21+Q23+Q26+Q27+Q28+Q36+Q39+Q40</f>
        <v>2035</v>
      </c>
      <c r="R73" s="30">
        <f>R8+R10+R12+R13+R15+R17+R20+R21+R23+R26+R27+R28+R36+R39+R40</f>
        <v>4840</v>
      </c>
      <c r="S73" s="30">
        <f>S8+S10+S12+S13+S15+S17+S20+S21+S23+S26+S27+S28+S36+S39+S40</f>
        <v>133435.16</v>
      </c>
      <c r="T73" s="30">
        <f>T8+T10+T12+T13+T15+T17+T20+T21+T23+T26+T27+T28+T36+T39+T40</f>
        <v>82737.59999999999</v>
      </c>
      <c r="U73" s="30">
        <f>U8+U10+U12+U13+U15+U17+U20+U21+U23+U26+U27+U28+U36+U39+U40</f>
        <v>1823</v>
      </c>
      <c r="V73" s="30">
        <f>V8+V10+V12+V13+V15+V17+V20+V21+V23+V26+V27+V28+V36+V39+V40</f>
        <v>115308.36</v>
      </c>
      <c r="W73" s="30">
        <f>W8+W10+W12+W13+W15+W17+W20+W21+W23+W26+W27+W28+W36+W39+W40</f>
        <v>71457.3</v>
      </c>
      <c r="X73" s="30">
        <f>X8+X10+X12+X13+X15+X17+X20+X21+X23+X26+X27+X28+X36+X39+X40</f>
        <v>282</v>
      </c>
      <c r="Y73" s="30">
        <f>Y8+Y10+Y12+Y13+Y15+Y17+Y20+Y21+Y23+Y26+Y27+Y28+Y36+Y39+Y40</f>
        <v>18126.800000000003</v>
      </c>
      <c r="Z73" s="30">
        <f>Z8+Z10+Z12+Z13+Z15+Z17+Z20+Z21+Z23+Z26+Z27+Z28+Z36+Z39+Z40</f>
        <v>11280.300000000003</v>
      </c>
      <c r="AA73" s="30">
        <f>AA8+AA10+AA12+AA13+AA15+AA17+AA20+AA21+AA23+AA26+AA27+AA28+AA36+AA39+AA40</f>
        <v>586.9000000000001</v>
      </c>
      <c r="AB73" s="30">
        <f>AB8+AB10+AB12+AB13+AB15+AB17+AB20+AB21+AB23+AB26+AB27+AB28+AB36+AB39+AB40</f>
        <v>299.6</v>
      </c>
      <c r="AC73" s="30">
        <f>AC8+AC10+AC12+AC13+AC15+AC17+AC20+AC21+AC23+AC26+AC27+AC28+AC36+AC39+AC40</f>
        <v>0</v>
      </c>
      <c r="AD73" s="30">
        <f>AD8+AD10+AD12+AD13+AD15+AD17+AD20+AD21+AD23+AD26+AD27+AD28+AD36+AD39+AD40</f>
        <v>299.6</v>
      </c>
      <c r="AE73" s="30">
        <f>AE8+AE10+AE12+AE13+AE15+AE17+AE20+AE21+AE23+AE26+AE27+AE28+AE36+AE39+AE40</f>
        <v>287.29999999999995</v>
      </c>
      <c r="AF73" s="30">
        <f>AF8+AF10+AF12+AF13+AF15+AF17+AF20+AF21+AF23+AF26+AF27+AF28+AF36+AF39+AF40</f>
        <v>134022.06</v>
      </c>
      <c r="AG73" s="30">
        <f>AG8+AG10+AG12+AG13+AG15+AG17+AG20+AG21+AG23+AG26+AG27+AG28+AG36+AG39+AG40</f>
        <v>0</v>
      </c>
      <c r="AH73" s="30">
        <f>AH8+AH10+AH12+AH13+AH15+AH17+AH20+AH21+AH23+AH26+AH27+AH28+AH36+AH39+AH40</f>
        <v>59</v>
      </c>
      <c r="AI73" s="30">
        <f>AI8+AI10+AI12+AI13+AI15+AI17+AI20+AI21+AI23+AI26+AI27+AI28+AI36+AI39+AI40</f>
        <v>59</v>
      </c>
      <c r="AJ73" s="30">
        <f>AJ8+AJ10+AJ12+AJ13+AJ15+AJ17+AJ20+AJ21+AJ23+AJ26+AJ27+AJ28+AJ36+AJ39+AJ40</f>
        <v>58</v>
      </c>
      <c r="AK73" s="30">
        <f>AK8+AK10+AK12+AK13+AK15+AK17+AK20+AK21+AK23+AK26+AK27+AK28+AK36+AK39+AK40</f>
        <v>0</v>
      </c>
      <c r="AL73" s="30">
        <f>AL8+AL10+AL12+AL13+AL15+AL17+AL20+AL21+AL23+AL26+AL27+AL28+AL36+AL39+AL40</f>
        <v>59</v>
      </c>
      <c r="AM73" s="30">
        <f>AM8+AM10+AM12+AM13+AM15+AM17+AM20+AM21+AM23+AM26+AM27+AM28+AM36+AM39+AM40</f>
        <v>107890</v>
      </c>
      <c r="AN73" s="30">
        <f>AN8+AN10+AN12+AN13+AN15+AN17+AN20+AN21+AN23+AN26+AN27+AN28+AN36+AN39+AN40</f>
        <v>2915</v>
      </c>
      <c r="AO73" s="30">
        <f>AO8+AO10+AO12+AO13+AO15+AO17+AO20+AO21+AO23+AO26+AO27+AO28+AO36+AO39+AO40</f>
        <v>8759</v>
      </c>
      <c r="AP73" s="30">
        <f>AP8+AP10+AP12+AP13+AP15+AP17+AP20+AP21+AP23+AP26+AP27+AP28+AP36+AP39+AP40</f>
        <v>6616</v>
      </c>
      <c r="AQ73" s="30">
        <f>AQ8+AQ10+AQ12+AQ13+AQ15+AQ17+AQ20+AQ21+AQ23+AQ26+AQ27+AQ28+AQ36+AQ39+AQ40</f>
        <v>8437</v>
      </c>
      <c r="AR73" s="30">
        <f>AR8+AR10+AR12+AR13+AR15+AR17+AR20+AR21+AR23+AR26+AR27+AR28+AR36+AR39+AR40</f>
        <v>216509</v>
      </c>
      <c r="AS73" s="30">
        <f>AS8+AS10+AS12+AS13+AS15+AS17+AS20+AS21+AS23+AS26+AS27+AS28+AS36+AS39+AS40</f>
        <v>105070</v>
      </c>
      <c r="AT73" s="30">
        <f>AT8+AT10+AT12+AT13+AT15+AT17+AT20+AT21+AT23+AT26+AT27+AT28+AT36+AT39+AT40</f>
        <v>111439</v>
      </c>
      <c r="AU73" s="30">
        <f>AU8+AU10+AU12+AU13+AU15+AU17+AU20+AU21+AU23+AU26+AU27+AU28+AU36+AU39+AU40</f>
        <v>52630</v>
      </c>
      <c r="AV73" s="30">
        <f>AV8+AV10+AV12+AV13+AV15+AV17+AV20+AV21+AV23+AV26+AV27+AV28+AV36+AV39+AV40</f>
        <v>4557</v>
      </c>
      <c r="AW73" s="30">
        <f>AW8+AW10+AW12+AW13+AW15+AW17+AW20+AW21+AW23+AW26+AW27+AW28+AW36+AW39+AW40</f>
        <v>21674</v>
      </c>
      <c r="AX73" s="30">
        <f>AX8+AX10+AX12+AX13+AX15+AX17+AX20+AX21+AX23+AX26+AX27+AX28+AX36+AX39+AX40</f>
        <v>21674</v>
      </c>
      <c r="AY73" s="30">
        <f>AY8+AY10+AY12+AY13+AY15+AY17+AY20+AY21+AY23+AY26+AY27+AY28+AY36+AY39+AY40</f>
        <v>1003</v>
      </c>
      <c r="AZ73" s="30">
        <f>AZ8+AZ10+AZ12+AZ13+AZ15+AZ17+AZ20+AZ21+AZ23+AZ26+AZ27+AZ28+AZ36+AZ39+AZ40</f>
        <v>118</v>
      </c>
      <c r="BA73" s="30">
        <f>BA8+BA10+BA12+BA13+BA15+BA17+BA20+BA21+BA23+BA26+BA27+BA28+BA36+BA39+BA40</f>
        <v>7561</v>
      </c>
      <c r="BB73" s="30">
        <f>BB8+BB10+BB12+BB13+BB15+BB17+BB20+BB21+BB23+BB26+BB27+BB28+BB36+BB39+BB40</f>
        <v>19746</v>
      </c>
      <c r="BC73" s="30">
        <f>BC8+BC10+BC12+BC13+BC15+BC17+BC20+BC21+BC23+BC26+BC27+BC28+BC36+BC39+BC40</f>
        <v>2</v>
      </c>
      <c r="BD73" s="30">
        <f>BD8+BD10+BD12+BD13+BD15+BD17+BD20+BD21+BD23+BD26+BD27+BD28+BD36+BD39+BD40</f>
        <v>224200</v>
      </c>
      <c r="BE73" s="30">
        <f>BE8+BE10+BE12+BE13+BE15+BE17+BE20+BE21+BE23+BE26+BE27+BE28+BE36+BE39+BE40</f>
        <v>96465</v>
      </c>
      <c r="BF73" s="30">
        <f>BF8+BF10+BF12+BF13+BF15+BF17+BF20+BF21+BF23+BF26+BF27+BF28+BF36+BF39+BF40</f>
        <v>4265</v>
      </c>
      <c r="BG73" s="30">
        <f>BG8+BG10+BG12+BG13+BG15+BG17+BG20+BG21+BG23+BG26+BG27+BG28+BG36+BG39+BG40</f>
        <v>0</v>
      </c>
      <c r="BH73" s="30">
        <f>BH8+BH10+BH12+BH13+BH15+BH17+BH20+BH21+BH23+BH26+BH27+BH28+BH36+BH39+BH40</f>
        <v>0</v>
      </c>
      <c r="BI73" s="30">
        <f>BI8+BI10+BI12+BI13+BI15+BI17+BI20+BI21+BI23+BI26+BI27+BI28+BI36+BI39+BI40</f>
        <v>0</v>
      </c>
      <c r="BJ73" s="30">
        <f>BJ8+BJ10+BJ12+BJ13+BJ15+BJ17+BJ20+BJ21+BJ23+BJ26+BJ27+BJ28+BJ36+BJ39+BJ40</f>
        <v>12</v>
      </c>
      <c r="BK73" s="30">
        <f>BK8+BK10+BK12+BK13+BK15+BK17+BK20+BK21+BK23+BK26+BK27+BK28+BK36+BK39+BK40</f>
        <v>85767.45999999999</v>
      </c>
      <c r="BL73" s="30">
        <f>BL8+BL10+BL12+BL13+BL15+BL17+BL20+BL21+BL23+BL26+BL27+BL28+BL36+BL39+BL40</f>
        <v>53504.5</v>
      </c>
      <c r="BM73" s="30">
        <f>BM8+BM10+BM12+BM13+BM15+BM17+BM20+BM21+BM23+BM26+BM27+BM28+BM36+BM39+BM40</f>
        <v>3</v>
      </c>
      <c r="BN73" s="30">
        <f>BN8+BN10+BN12+BN13+BN15+BN17+BN20+BN21+BN23+BN26+BN27+BN28+BN36+BN39+BN40</f>
        <v>47667.700000000004</v>
      </c>
      <c r="BO73" s="30">
        <f>BO8+BO10+BO12+BO13+BO15+BO17+BO20+BO21+BO23+BO26+BO27+BO28+BO36+BO39+BO40</f>
        <v>29233.1</v>
      </c>
      <c r="BP73" s="30">
        <f>BP8+BP10+BP12+BP13+BP15+BP17+BP20+BP21+BP23+BP26+BP27+BP28+BP36+BP39+BP40</f>
        <v>0</v>
      </c>
      <c r="BQ73" s="30">
        <f>BQ8+BQ10+BQ12+BQ13+BQ15+BQ17+BQ20+BQ21+BQ23+BQ26+BQ27+BQ28+BQ36+BQ39+BQ40</f>
        <v>44</v>
      </c>
      <c r="BR73" s="30">
        <f>BR8+BR10+BR12+BR13+BR15+BR17+BR20+BR21+BR23+BR26+BR27+BR28+BR36+BR39+BR40</f>
        <v>0</v>
      </c>
      <c r="BS73" s="30">
        <f>BS8+BS10+BS12+BS13+BS15+BS17+BS20+BS21+BS23+BS26+BS27+BS28+BS36+BS39+BS40</f>
        <v>0</v>
      </c>
      <c r="BT73" s="30">
        <f>BT8+BT10+BT12+BT13+BT15+BT17+BT20+BT21+BT23+BT26+BT27+BT28+BT36+BT39+BT40</f>
        <v>0</v>
      </c>
      <c r="BU73" s="30">
        <f>BU8+BU10+BU12+BU13+BU15+BU17+BU20+BU21+BU23+BU26+BU27+BU28+BU36+BU39+BU40</f>
        <v>10830</v>
      </c>
      <c r="BV73" s="30">
        <f>BV8+BV10+BV12+BV13+BV15+BV17+BV20+BV21+BV23+BV26+BV27+BV28+BV36+BV39+BV40</f>
        <v>6704.759999999999</v>
      </c>
      <c r="BW73" s="30">
        <f>BW8+BW10+BW12+BW13+BW15+BW17+BW20+BW21+BW23+BW26+BW27+BW28+BW36+BW39+BW40</f>
        <v>3259.75</v>
      </c>
      <c r="BX73" s="30">
        <f>BX8+BX10+BX12+BX13+BX15+BX17+BX20+BX21+BX23+BX26+BX27+BX28+BX36+BX39+BX40</f>
        <v>15447.969999999998</v>
      </c>
      <c r="BY73" s="30">
        <f>BY8+BY10+BY12+BY13+BY15+BY17+BY20+BY21+BY23+BY26+BY27+BY28+BY36+BY39+BY40</f>
        <v>44</v>
      </c>
      <c r="BZ73" s="30">
        <f>BZ8+BZ10+BZ12+BZ13+BZ15+BZ17+BZ20+BZ21+BZ23+BZ26+BZ27+BZ28+BZ36+BZ39+BZ40</f>
        <v>5</v>
      </c>
      <c r="CA73" s="30">
        <f>CA8+CA10+CA12+CA13+CA15+CA17+CA20+CA21+CA23+CA26+CA27+CA28+CA36+CA39+CA40</f>
        <v>5</v>
      </c>
      <c r="CB73" s="30">
        <f>CB8+CB10+CB12+CB13+CB15+CB17+CB20+CB21+CB23+CB26+CB27+CB28+CB36+CB39+CB40</f>
        <v>5</v>
      </c>
      <c r="CC73" s="30">
        <f>CC8+CC10+CC12+CC13+CC15+CC17+CC20+CC21+CC23+CC26+CC27+CC28+CC36+CC39+CC40</f>
        <v>41</v>
      </c>
      <c r="CD73" s="30">
        <f>CD8+CD10+CD12+CD13+CD15+CD17+CD20+CD21+CD23+CD26+CD27+CD28+CD36+CD39+CD40</f>
        <v>9640.5</v>
      </c>
      <c r="CE73" s="30">
        <f>CE8+CE10+CE12+CE13+CE15+CE17+CE20+CE21+CE23+CE26+CE27+CE28+CE36+CE39+CE40</f>
        <v>13584.300000000005</v>
      </c>
      <c r="CF73" s="30">
        <f>CF8+CF10+CF12+CF13+CF15+CF17+CF20+CF21+CF23+CF26+CF27+CF28+CF36+CF39+CF40</f>
        <v>204.9</v>
      </c>
      <c r="CG73" s="30">
        <f>CG8+CG10+CG12+CG13+CG15+CG17+CG20+CG21+CG23+CG26+CG27+CG28+CG36+CG39+CG40</f>
        <v>216.46999999999997</v>
      </c>
      <c r="CH73" s="30">
        <f>CH8+CH10+CH12+CH13+CH15+CH17+CH20+CH21+CH23+CH26+CH27+CH28+CH36+CH39+CH40</f>
        <v>20699.3</v>
      </c>
      <c r="CI73" s="30">
        <f>CI8+CI10+CI12+CI13+CI15+CI17+CI20+CI21+CI23+CI26+CI27+CI28+CI36+CI39+CI40</f>
        <v>0</v>
      </c>
      <c r="CJ73" s="30">
        <f>CJ8+CJ10+CJ12+CJ13+CJ15+CJ17+CJ20+CJ21+CJ23+CJ26+CJ27+CJ28+CJ36+CJ39+CJ40</f>
        <v>21674</v>
      </c>
      <c r="CK73" s="30">
        <f>CK8+CK10+CK12+CK13+CK15+CK17+CK20+CK21+CK23+CK26+CK27+CK28+CK36+CK39+CK40</f>
        <v>978.1300000000002</v>
      </c>
      <c r="CL73" s="30">
        <f>CL8+CL10+CL12+CL13+CL15+CL17+CL20+CL21+CL23+CL26+CL27+CL28+CL36+CL39+CL40</f>
        <v>533.9000000000001</v>
      </c>
      <c r="CM73" s="30">
        <f>CM8+CM10+CM12+CM13+CM15+CM17+CM20+CM21+CM23+CM26+CM27+CM28+CM36+CM39+CM40</f>
        <v>67531.5</v>
      </c>
      <c r="CN73" s="30">
        <f>CN8+CN10+CN12+CN13+CN15+CN17+CN20+CN21+CN23+CN26+CN27+CN28+CN36+CN39+CN40</f>
        <v>50900</v>
      </c>
      <c r="CO73" s="30">
        <f>CO8+CO10+CO12+CO13+CO15+CO17+CO20+CO21+CO23+CO26+CO27+CO28+CO36+CO39+CO40</f>
        <v>27724</v>
      </c>
      <c r="CP73" s="142"/>
      <c r="CQ73" s="30">
        <f>CQ8+CQ10+CQ12+CQ13+CQ15+CQ17+CQ20+CQ21+CQ23+CQ26+CQ27+CQ28+CQ36+CQ39+CQ40</f>
        <v>0</v>
      </c>
      <c r="CR73" s="30">
        <f>CR8+CR10+CR12+CR13+CR15+CR17+CR20+CR21+CR23+CR26+CR27+CR28+CR36+CR39+CR40</f>
        <v>0</v>
      </c>
      <c r="CS73" s="30">
        <f>CS8+CS10+CS12+CS13+CS15+CS17+CS20+CS21+CS23+CS26+CS27+CS28+CS36+CS39+CS40</f>
        <v>0</v>
      </c>
      <c r="CT73" s="142"/>
      <c r="CV73" s="30">
        <f>CV8+CV10+CV12+CV13+CV15+CV17+CV20+CV21+CV23+CV26+CV27+CV28+CV36+CV39+CV40</f>
        <v>5</v>
      </c>
      <c r="CW73" s="30">
        <f>CW8+CW10+CW12+CW13+CW15+CW17+CW20+CW21+CW23+CW26+CW27+CW28+CW36+CW39+CW40</f>
        <v>105070</v>
      </c>
      <c r="CX73" s="30">
        <f>CX8+CX10+CX12+CX13+CX15+CX17+CX20+CX21+CX23+CX26+CX27+CX28+CX36+CX39+CX40</f>
        <v>10</v>
      </c>
      <c r="CY73" s="30">
        <f>CY8+CY10+CY12+CY13+CY15+CY17+CY20+CY21+CY23+CY26+CY27+CY28+CY36+CY39+CY40</f>
        <v>111439</v>
      </c>
      <c r="CZ73" s="30">
        <f>CZ8+CZ10+CZ12+CZ13+CZ15+CZ17+CZ20+CZ21+CZ23+CZ26+CZ27+CZ28+CZ36+CZ39+CZ40</f>
        <v>15</v>
      </c>
      <c r="DA73" s="30">
        <f>DA8+DA10+DA12+DA13+DA15+DA17+DA20+DA21+DA23+DA26+DA27+DA28+DA36+DA39+DA40</f>
        <v>216509</v>
      </c>
    </row>
    <row r="74" spans="2:105" s="5" customFormat="1" ht="12.75">
      <c r="B74" s="23"/>
      <c r="C74" s="24" t="s">
        <v>14</v>
      </c>
      <c r="D74" s="17"/>
      <c r="E74" s="18"/>
      <c r="F74" s="18"/>
      <c r="G74" s="30">
        <f>G41</f>
        <v>1</v>
      </c>
      <c r="H74" s="144">
        <v>12</v>
      </c>
      <c r="I74" s="25"/>
      <c r="J74" s="30">
        <f>J41</f>
        <v>53895</v>
      </c>
      <c r="K74" s="30">
        <f>K41</f>
        <v>2835</v>
      </c>
      <c r="L74" s="30"/>
      <c r="M74" s="30">
        <f>M41</f>
        <v>0</v>
      </c>
      <c r="N74" s="30">
        <f>N41</f>
        <v>2630</v>
      </c>
      <c r="O74" s="30">
        <f>O41</f>
        <v>132</v>
      </c>
      <c r="P74" s="30">
        <f>P41</f>
        <v>220</v>
      </c>
      <c r="Q74" s="30">
        <f>Q41</f>
        <v>132</v>
      </c>
      <c r="R74" s="30">
        <f>R41</f>
        <v>216</v>
      </c>
      <c r="S74" s="30">
        <f>S41</f>
        <v>6466.5</v>
      </c>
      <c r="T74" s="30">
        <f>T41</f>
        <v>3480.2</v>
      </c>
      <c r="U74" s="30">
        <f>U41</f>
        <v>121</v>
      </c>
      <c r="V74" s="30">
        <f>V41</f>
        <v>5935.4</v>
      </c>
      <c r="W74" s="30">
        <f>W41</f>
        <v>3194.1</v>
      </c>
      <c r="X74" s="30">
        <f>X41</f>
        <v>11</v>
      </c>
      <c r="Y74" s="30">
        <f>Y41</f>
        <v>531.1000000000004</v>
      </c>
      <c r="Z74" s="30">
        <f>Z41</f>
        <v>286.0999999999999</v>
      </c>
      <c r="AA74" s="30">
        <f>AA41</f>
        <v>1377.5</v>
      </c>
      <c r="AB74" s="30">
        <f>AB41</f>
        <v>1377.5</v>
      </c>
      <c r="AC74" s="30">
        <f>AC41</f>
        <v>0</v>
      </c>
      <c r="AD74" s="30">
        <f>AD41</f>
        <v>1377.5</v>
      </c>
      <c r="AE74" s="30">
        <f>AE41</f>
        <v>0</v>
      </c>
      <c r="AF74" s="30">
        <f>AF41</f>
        <v>7844</v>
      </c>
      <c r="AG74" s="30">
        <f>AG41</f>
        <v>0</v>
      </c>
      <c r="AH74" s="30">
        <f>AH41</f>
        <v>4</v>
      </c>
      <c r="AI74" s="30">
        <f>AI41</f>
        <v>2</v>
      </c>
      <c r="AJ74" s="30">
        <f>AJ41</f>
        <v>2</v>
      </c>
      <c r="AK74" s="30">
        <f>AK41</f>
        <v>0</v>
      </c>
      <c r="AL74" s="30">
        <f>AL41</f>
        <v>2</v>
      </c>
      <c r="AM74" s="30">
        <f>AM41</f>
        <v>11200</v>
      </c>
      <c r="AN74" s="30">
        <f>AN41</f>
        <v>0</v>
      </c>
      <c r="AO74" s="30">
        <f>AO41</f>
        <v>1120</v>
      </c>
      <c r="AP74" s="30">
        <f>AP41</f>
        <v>512</v>
      </c>
      <c r="AQ74" s="30">
        <f>AQ41</f>
        <v>312</v>
      </c>
      <c r="AR74" s="30">
        <f>AR41</f>
        <v>17584</v>
      </c>
      <c r="AS74" s="30">
        <f>AS41</f>
        <v>0</v>
      </c>
      <c r="AT74" s="30">
        <f>AT41</f>
        <v>17584</v>
      </c>
      <c r="AU74" s="30">
        <f>AU41</f>
        <v>0</v>
      </c>
      <c r="AV74" s="30">
        <f>AV41</f>
        <v>307</v>
      </c>
      <c r="AW74" s="30">
        <f>AW41</f>
        <v>2448</v>
      </c>
      <c r="AX74" s="30">
        <f>AX41</f>
        <v>2448</v>
      </c>
      <c r="AY74" s="30">
        <f>AY41</f>
        <v>0</v>
      </c>
      <c r="AZ74" s="30">
        <f>AZ41</f>
        <v>4</v>
      </c>
      <c r="BA74" s="30">
        <f>BA41</f>
        <v>352</v>
      </c>
      <c r="BB74" s="30">
        <f>BB41</f>
        <v>1146</v>
      </c>
      <c r="BC74" s="30">
        <f>BC41</f>
        <v>0</v>
      </c>
      <c r="BD74" s="30">
        <f>BD41</f>
        <v>15200</v>
      </c>
      <c r="BE74" s="30">
        <f>BE41</f>
        <v>6540</v>
      </c>
      <c r="BF74" s="30">
        <f>BF41</f>
        <v>240</v>
      </c>
      <c r="BG74" s="30">
        <f>BG41</f>
        <v>1</v>
      </c>
      <c r="BH74" s="30">
        <f>BH41</f>
        <v>6466.5</v>
      </c>
      <c r="BI74" s="30">
        <f>BI41</f>
        <v>3480.2</v>
      </c>
      <c r="BJ74" s="30">
        <f>BJ41</f>
        <v>0</v>
      </c>
      <c r="BK74" s="30">
        <f>BK41</f>
        <v>0</v>
      </c>
      <c r="BL74" s="30">
        <f>BL41</f>
        <v>0</v>
      </c>
      <c r="BM74" s="30">
        <f>BM41</f>
        <v>0</v>
      </c>
      <c r="BN74" s="30">
        <f>BN41</f>
        <v>0</v>
      </c>
      <c r="BO74" s="30">
        <f>BO41</f>
        <v>0</v>
      </c>
      <c r="BP74" s="30">
        <f>BP41</f>
        <v>0</v>
      </c>
      <c r="BQ74" s="30">
        <f>BQ41</f>
        <v>3</v>
      </c>
      <c r="BR74" s="30">
        <f>BR41</f>
        <v>2448</v>
      </c>
      <c r="BS74" s="30">
        <f>BS41</f>
        <v>10480</v>
      </c>
      <c r="BT74" s="30">
        <f>BT41</f>
        <v>0</v>
      </c>
      <c r="BU74" s="30">
        <f>BU41</f>
        <v>11200</v>
      </c>
      <c r="BV74" s="30">
        <f>BV41</f>
        <v>285.9</v>
      </c>
      <c r="BW74" s="30">
        <f>BW41</f>
        <v>191.7</v>
      </c>
      <c r="BX74" s="30">
        <f>BX41</f>
        <v>1969</v>
      </c>
      <c r="BY74" s="30">
        <f>BY41</f>
        <v>4</v>
      </c>
      <c r="BZ74" s="30">
        <f>BZ41</f>
        <v>0</v>
      </c>
      <c r="CA74" s="30">
        <f>CA41</f>
        <v>0</v>
      </c>
      <c r="CB74" s="30">
        <f>CB41</f>
        <v>0</v>
      </c>
      <c r="CC74" s="30">
        <f>CC41</f>
        <v>0</v>
      </c>
      <c r="CD74" s="30">
        <f>CD41</f>
        <v>424.1</v>
      </c>
      <c r="CE74" s="30">
        <f>CE41</f>
        <v>1654.9</v>
      </c>
      <c r="CF74" s="30">
        <f>CF41</f>
        <v>10.8</v>
      </c>
      <c r="CG74" s="30">
        <f>CG41</f>
        <v>71.3</v>
      </c>
      <c r="CH74" s="30">
        <f>CH41</f>
        <v>807.6999999999999</v>
      </c>
      <c r="CI74" s="30">
        <f>CI41</f>
        <v>0</v>
      </c>
      <c r="CJ74" s="30">
        <f>CJ41</f>
        <v>2448</v>
      </c>
      <c r="CK74" s="30">
        <f>CK41</f>
        <v>161.39999999999998</v>
      </c>
      <c r="CL74" s="30">
        <f>CL41</f>
        <v>26.299999999999997</v>
      </c>
      <c r="CM74" s="30">
        <f>CM41</f>
        <v>5604.5</v>
      </c>
      <c r="CN74" s="30">
        <f>CN41</f>
        <v>6817</v>
      </c>
      <c r="CO74" s="30">
        <f>CO41</f>
        <v>3982</v>
      </c>
      <c r="CP74" s="142"/>
      <c r="CQ74" s="30">
        <f>CQ41</f>
        <v>0</v>
      </c>
      <c r="CR74" s="30">
        <f>CR41</f>
        <v>0</v>
      </c>
      <c r="CS74" s="30">
        <f>CS41</f>
        <v>0</v>
      </c>
      <c r="CT74" s="142"/>
      <c r="CV74" s="30" t="str">
        <f>CV41</f>
        <v>0</v>
      </c>
      <c r="CW74" s="30">
        <f>CW41</f>
        <v>0</v>
      </c>
      <c r="CX74" s="30">
        <f>CX41</f>
        <v>1</v>
      </c>
      <c r="CY74" s="30">
        <f>CY41</f>
        <v>17584</v>
      </c>
      <c r="CZ74" s="30">
        <f>CZ41</f>
        <v>1</v>
      </c>
      <c r="DA74" s="30">
        <f>DA41</f>
        <v>17584</v>
      </c>
    </row>
    <row r="75" spans="2:105" s="5" customFormat="1" ht="12.75">
      <c r="B75" s="23"/>
      <c r="C75" s="24" t="s">
        <v>17</v>
      </c>
      <c r="E75" s="24"/>
      <c r="F75" s="24"/>
      <c r="G75" s="30">
        <f>G7+G11+G14+G16+G18+G19+G22+G24+G25+G29+G30+G31+G32+G33+G34+G35+G42+G43+G44</f>
        <v>19</v>
      </c>
      <c r="H75" s="145">
        <v>5</v>
      </c>
      <c r="I75" s="16"/>
      <c r="J75" s="30">
        <f>J7+J11+J14+J16+J18+J19+J22+J24+J25+J29+J30+J31+J32+J33+J34+J35+J42+J43+J44</f>
        <v>740190</v>
      </c>
      <c r="K75" s="30">
        <f>K7+K11+K14+K16+K18+K19+K22+K24+K25+K29+K30+K31+K32+K33+K34+K35+K42+K43+K44</f>
        <v>44560</v>
      </c>
      <c r="L75" s="30"/>
      <c r="M75" s="30">
        <f>M7+M11+M14+M16+M18+M19+M22+M24+M25+M29+M30+M31+M32+M33+M34+M35+M42+M43+M44</f>
        <v>55135</v>
      </c>
      <c r="N75" s="30">
        <f>N7+N11+N14+N16+N18+N19+N22+N24+N25+N29+N30+N31+N32+N33+N34+N35+N42+N43+N44</f>
        <v>0</v>
      </c>
      <c r="O75" s="30">
        <f>O7+O11+O14+O16+O18+O19+O22+O24+O25+O29+O30+O31+O32+O33+O34+O35+O42+O43+O44</f>
        <v>1750</v>
      </c>
      <c r="P75" s="30">
        <f>P7+P11+P14+P16+P18+P19+P22+P24+P25+P29+P30+P31+P32+P33+P34+P35+P42+P43+P44</f>
        <v>4455</v>
      </c>
      <c r="Q75" s="30">
        <f>Q7+Q11+Q14+Q16+Q18+Q19+Q22+Q24+Q25+Q29+Q30+Q31+Q32+Q33+Q34+Q35+Q42+Q43+Q44</f>
        <v>1840</v>
      </c>
      <c r="R75" s="30">
        <f>R7+R11+R14+R16+R18+R19+R22+R24+R25+R29+R30+R31+R32+R33+R34+R35+R42+R43+R44</f>
        <v>3555</v>
      </c>
      <c r="S75" s="30">
        <f>S7+S11+S14+S16+S18+S19+S22+S24+S25+S29+S30+S31+S32+S33+S34+S35+S42+S43+S44</f>
        <v>126151.37999999998</v>
      </c>
      <c r="T75" s="30">
        <f>T7+T11+T14+T16+T18+T19+T22+T24+T25+T29+T30+T31+T32+T33+T34+T35+T42+T43+T44</f>
        <v>75918.19000000002</v>
      </c>
      <c r="U75" s="30">
        <f>U7+U11+U14+U16+U18+U19+U22+U24+U25+U29+U30+U31+U32+U33+U34+U35+U42+U43+U44</f>
        <v>1510</v>
      </c>
      <c r="V75" s="30">
        <f>V7+V11+V14+V16+V18+V19+V22+V24+V25+V29+V30+V31+V32+V33+V34+V35+V42+V43+V44</f>
        <v>108463.89</v>
      </c>
      <c r="W75" s="30">
        <f>W7+W11+W14+W16+W18+W19+W22+W24+W25+W29+W30+W31+W32+W33+W34+W35+W42+W43+W44</f>
        <v>65196</v>
      </c>
      <c r="X75" s="30">
        <f>X7+X11+X14+X16+X18+X19+X22+X24+X25+X29+X30+X31+X32+X33+X34+X35+X42+X43+X44</f>
        <v>240</v>
      </c>
      <c r="Y75" s="30">
        <f>Y7+Y11+Y14+Y16+Y18+Y19+Y22+Y24+Y25+Y29+Y30+Y31+Y32+Y33+Y34+Y35+Y42+Y43+Y44</f>
        <v>17687.49</v>
      </c>
      <c r="Z75" s="30">
        <f>Z7+Z11+Z14+Z16+Z18+Z19+Z22+Z24+Z25+Z29+Z30+Z31+Z32+Z33+Z34+Z35+Z42+Z43+Z44</f>
        <v>10722.189999999999</v>
      </c>
      <c r="AA75" s="30">
        <f>AA7+AA11+AA14+AA16+AA18+AA19+AA22+AA24+AA25+AA29+AA30+AA31+AA32+AA33+AA34+AA35+AA42+AA43+AA44</f>
        <v>33453.61</v>
      </c>
      <c r="AB75" s="30">
        <f>AB7+AB11+AB14+AB16+AB18+AB19+AB22+AB24+AB25+AB29+AB30+AB31+AB32+AB33+AB34+AB35+AB42+AB43+AB44</f>
        <v>25062.599999999995</v>
      </c>
      <c r="AC75" s="30">
        <f>AC7+AC11+AC14+AC16+AC18+AC19+AC22+AC24+AC25+AC29+AC30+AC31+AC32+AC33+AC34+AC35+AC42+AC43+AC44</f>
        <v>0</v>
      </c>
      <c r="AD75" s="30">
        <f>AD7+AD11+AD14+AD16+AD18+AD19+AD22+AD24+AD25+AD29+AD30+AD31+AD32+AD33+AD34+AD35+AD42+AD43+AD44</f>
        <v>25062.599999999995</v>
      </c>
      <c r="AE75" s="30">
        <f>AE7+AE11+AE14+AE16+AE18+AE19+AE22+AE24+AE25+AE29+AE30+AE31+AE32+AE33+AE34+AE35+AE42+AE43+AE44</f>
        <v>8391.01</v>
      </c>
      <c r="AF75" s="30">
        <f>AF7+AF11+AF14+AF16+AF18+AF19+AF22+AF24+AF25+AF29+AF30+AF31+AF32+AF33+AF34+AF35+AF42+AF43+AF44</f>
        <v>159604.99000000002</v>
      </c>
      <c r="AG75" s="30">
        <f>AG7+AG11+AG14+AG16+AG18+AG19+AG22+AG24+AG25+AG29+AG30+AG31+AG32+AG33+AG34+AG35+AG42+AG43+AG44</f>
        <v>0</v>
      </c>
      <c r="AH75" s="30">
        <f>AH7+AH11+AH14+AH16+AH18+AH19+AH22+AH24+AH25+AH29+AH30+AH31+AH32+AH33+AH34+AH35+AH42+AH43+AH44</f>
        <v>0</v>
      </c>
      <c r="AI75" s="30">
        <f>AI7+AI11+AI14+AI16+AI18+AI19+AI22+AI24+AI25+AI29+AI30+AI31+AI32+AI33+AI34+AI35+AI42+AI43+AI44</f>
        <v>104</v>
      </c>
      <c r="AJ75" s="30">
        <f>AJ7+AJ11+AJ14+AJ16+AJ18+AJ19+AJ22+AJ24+AJ25+AJ29+AJ30+AJ31+AJ32+AJ33+AJ34+AJ35+AJ42+AJ43+AJ44</f>
        <v>0</v>
      </c>
      <c r="AK75" s="30">
        <f>AK7+AK11+AK14+AK16+AK18+AK19+AK22+AK24+AK25+AK29+AK30+AK31+AK32+AK33+AK34+AK35+AK42+AK43+AK44</f>
        <v>0</v>
      </c>
      <c r="AL75" s="30">
        <f>AL7+AL11+AL14+AL16+AL18+AL19+AL22+AL24+AL25+AL29+AL30+AL31+AL32+AL33+AL34+AL35+AL42+AL43+AL44</f>
        <v>30</v>
      </c>
      <c r="AM75" s="30">
        <f>AM7+AM11+AM14+AM16+AM18+AM19+AM22+AM24+AM25+AM29+AM30+AM31+AM32+AM33+AM34+AM35+AM42+AM43+AM44</f>
        <v>108627</v>
      </c>
      <c r="AN75" s="30">
        <f>AN7+AN11+AN14+AN16+AN18+AN19+AN22+AN24+AN25+AN29+AN30+AN31+AN32+AN33+AN34+AN35+AN42+AN43+AN44</f>
        <v>21684</v>
      </c>
      <c r="AO75" s="30">
        <f>AO7+AO11+AO14+AO16+AO18+AO19+AO22+AO24+AO25+AO29+AO30+AO31+AO32+AO33+AO34+AO35+AO42+AO43+AO44</f>
        <v>9575</v>
      </c>
      <c r="AP75" s="30">
        <f>AP7+AP11+AP14+AP16+AP18+AP19+AP22+AP24+AP25+AP29+AP30+AP31+AP32+AP33+AP34+AP35+AP42+AP43+AP44</f>
        <v>7959</v>
      </c>
      <c r="AQ75" s="30">
        <f>AQ7+AQ11+AQ14+AQ16+AQ18+AQ19+AQ22+AQ24+AQ25+AQ29+AQ30+AQ31+AQ32+AQ33+AQ34+AQ35+AQ42+AQ43+AQ44</f>
        <v>3180</v>
      </c>
      <c r="AR75" s="30">
        <f>AR7+AR11+AR14+AR16+AR18+AR19+AR22+AR24+AR25+AR29+AR30+AR31+AR32+AR33+AR34+AR35+AR42+AR43+AR44</f>
        <v>103130</v>
      </c>
      <c r="AS75" s="30">
        <f>AS7+AS11+AS14+AS16+AS18+AS19+AS22+AS24+AS25+AS29+AS30+AS31+AS32+AS33+AS34+AS35+AS42+AS43+AS44</f>
        <v>0</v>
      </c>
      <c r="AT75" s="30">
        <f>AT7+AT11+AT14+AT16+AT18+AT19+AT22+AT24+AT25+AT29+AT30+AT31+AT32+AT33+AT34+AT35+AT42+AT43+AT44</f>
        <v>103130</v>
      </c>
      <c r="AU75" s="30">
        <f>AU7+AU11+AU14+AU16+AU18+AU19+AU22+AU24+AU25+AU29+AU30+AU31+AU32+AU33+AU34+AU35+AU42+AU43+AU44</f>
        <v>0</v>
      </c>
      <c r="AV75" s="30">
        <f>AV7+AV11+AV14+AV16+AV18+AV19+AV22+AV24+AV25+AV29+AV30+AV31+AV32+AV33+AV34+AV35+AV42+AV43+AV44</f>
        <v>3212</v>
      </c>
      <c r="AW75" s="30">
        <f>AW7+AW11+AW14+AW16+AW18+AW19+AW22+AW24+AW25+AW29+AW30+AW31+AW32+AW33+AW34+AW35+AW42+AW43+AW44</f>
        <v>43481</v>
      </c>
      <c r="AX75" s="30">
        <f>AX7+AX11+AX14+AX16+AX18+AX19+AX22+AX24+AX25+AX29+AX30+AX31+AX32+AX33+AX34+AX35+AX42+AX43+AX44</f>
        <v>43481</v>
      </c>
      <c r="AY75" s="30">
        <f>AY7+AY11+AY14+AY16+AY18+AY19+AY22+AY24+AY25+AY29+AY30+AY31+AY32+AY33+AY34+AY35+AY42+AY43+AY44</f>
        <v>516</v>
      </c>
      <c r="AZ75" s="30">
        <f>AZ7+AZ11+AZ14+AZ16+AZ18+AZ19+AZ22+AZ24+AZ25+AZ29+AZ30+AZ31+AZ32+AZ33+AZ34+AZ35+AZ42+AZ43+AZ44</f>
        <v>214</v>
      </c>
      <c r="BA75" s="30">
        <f>BA7+BA11+BA14+BA16+BA18+BA19+BA22+BA24+BA25+BA29+BA30+BA31+BA32+BA33+BA34+BA35+BA42+BA43+BA44</f>
        <v>6216</v>
      </c>
      <c r="BB75" s="30">
        <f>BB7+BB11+BB14+BB16+BB18+BB19+BB22+BB24+BB25+BB29+BB30+BB31+BB32+BB33+BB34+BB35+BB42+BB43+BB44</f>
        <v>17286</v>
      </c>
      <c r="BC75" s="30">
        <f>BC7+BC11+BC14+BC16+BC18+BC19+BC22+BC24+BC25+BC29+BC30+BC31+BC32+BC33+BC34+BC35+BC42+BC43+BC44</f>
        <v>0</v>
      </c>
      <c r="BD75" s="30">
        <f>BD7+BD11+BD14+BD16+BD18+BD19+BD22+BD24+BD25+BD29+BD30+BD31+BD32+BD33+BD34+BD35+BD42+BD43+BD44</f>
        <v>132643</v>
      </c>
      <c r="BE75" s="30">
        <f>BE7+BE11+BE14+BE16+BE18+BE19+BE22+BE24+BE25+BE29+BE30+BE31+BE32+BE33+BE34+BE35+BE42+BE43+BE44</f>
        <v>3844</v>
      </c>
      <c r="BF75" s="30">
        <f>BF7+BF11+BF14+BF16+BF18+BF19+BF22+BF24+BF25+BF29+BF30+BF31+BF32+BF33+BF34+BF35+BF42+BF43+BF44</f>
        <v>0</v>
      </c>
      <c r="BG75" s="30">
        <f>BG7+BG11+BG14+BG16+BG18+BG19+BG22+BG24+BG25+BG29+BG30+BG31+BG32+BG33+BG34+BG35+BG42+BG43+BG44</f>
        <v>19</v>
      </c>
      <c r="BH75" s="30">
        <f>BH7+BH11+BH14+BH16+BH18+BH19+BH22+BH24+BH25+BH29+BH30+BH31+BH32+BH33+BH34+BH35+BH42+BH43+BH44</f>
        <v>126151.37999999998</v>
      </c>
      <c r="BI75" s="30">
        <f>BI7+BI11+BI14+BI16+BI18+BI19+BI22+BI24+BI25+BI29+BI30+BI31+BI32+BI33+BI34+BI35+BI42+BI43+BI44</f>
        <v>75918.19000000002</v>
      </c>
      <c r="BJ75" s="30">
        <f>BJ7+BJ11+BJ14+BJ16+BJ18+BJ19+BJ22+BJ24+BJ25+BJ29+BJ30+BJ31+BJ32+BJ33+BJ34+BJ35+BJ42+BJ43+BJ44</f>
        <v>0</v>
      </c>
      <c r="BK75" s="30">
        <f>BK7+BK11+BK14+BK16+BK18+BK19+BK22+BK24+BK25+BK29+BK30+BK31+BK32+BK33+BK34+BK35+BK42+BK43+BK44</f>
        <v>0</v>
      </c>
      <c r="BL75" s="30">
        <f>BL7+BL11+BL14+BL16+BL18+BL19+BL22+BL24+BL25+BL29+BL30+BL31+BL32+BL33+BL34+BL35+BL42+BL43+BL44</f>
        <v>0</v>
      </c>
      <c r="BM75" s="30">
        <f>BM7+BM11+BM14+BM16+BM18+BM19+BM22+BM24+BM25+BM29+BM30+BM31+BM32+BM33+BM34+BM35+BM42+BM43+BM44</f>
        <v>0</v>
      </c>
      <c r="BN75" s="30">
        <f>BN7+BN11+BN14+BN16+BN18+BN19+BN22+BN24+BN25+BN29+BN30+BN31+BN32+BN33+BN34+BN35+BN42+BN43+BN44</f>
        <v>0</v>
      </c>
      <c r="BO75" s="30">
        <f>BO7+BO11+BO14+BO16+BO18+BO19+BO22+BO24+BO25+BO29+BO30+BO31+BO32+BO33+BO34+BO35+BO42+BO43+BO44</f>
        <v>0</v>
      </c>
      <c r="BP75" s="30">
        <f>BP7+BP11+BP14+BP16+BP18+BP19+BP22+BP24+BP25+BP29+BP30+BP31+BP32+BP33+BP34+BP35+BP42+BP43+BP44</f>
        <v>0</v>
      </c>
      <c r="BQ75" s="30">
        <f>BQ7+BQ11+BQ14+BQ16+BQ18+BQ19+BQ22+BQ24+BQ25+BQ29+BQ30+BQ31+BQ32+BQ33+BQ34+BQ35+BQ42+BQ43+BQ44</f>
        <v>78</v>
      </c>
      <c r="BR75" s="30">
        <f>BR7+BR11+BR14+BR16+BR18+BR19+BR22+BR24+BR25+BR29+BR30+BR31+BR32+BR33+BR34+BR35+BR42+BR43+BR44</f>
        <v>43481</v>
      </c>
      <c r="BS75" s="30">
        <f>BS7+BS11+BS14+BS16+BS18+BS19+BS22+BS24+BS25+BS29+BS30+BS31+BS32+BS33+BS34+BS35+BS42+BS43+BS44</f>
        <v>118578</v>
      </c>
      <c r="BT75" s="30">
        <f>BT7+BT11+BT14+BT16+BT18+BT19+BT22+BT24+BT25+BT29+BT30+BT31+BT32+BT33+BT34+BT35+BT42+BT43+BT44</f>
        <v>0</v>
      </c>
      <c r="BU75" s="30">
        <f>BU7+BU11+BU14+BU16+BU18+BU19+BU22+BU24+BU25+BU29+BU30+BU31+BU32+BU33+BU34+BU35+BU42+BU43+BU44</f>
        <v>108627</v>
      </c>
      <c r="BV75" s="30">
        <f>BV7+BV11+BV14+BV16+BV18+BV19+BV22+BV24+BV25+BV29+BV30+BV31+BV32+BV33+BV34+BV35+BV42+BV43+BV44</f>
        <v>7388.16</v>
      </c>
      <c r="BW75" s="30">
        <f>BW7+BW11+BW14+BW16+BW18+BW19+BW22+BW24+BW25+BW29+BW30+BW31+BW32+BW33+BW34+BW35+BW42+BW43+BW44</f>
        <v>3861.5200000000004</v>
      </c>
      <c r="BX75" s="30">
        <f>BX7+BX11+BX14+BX16+BX18+BX19+BX22+BX24+BX25+BX29+BX30+BX31+BX32+BX33+BX34+BX35+BX42+BX43+BX44</f>
        <v>0</v>
      </c>
      <c r="BY75" s="30">
        <f>BY7+BY11+BY14+BY16+BY18+BY19+BY22+BY24+BY25+BY29+BY30+BY31+BY32+BY33+BY34+BY35+BY42+BY43+BY44</f>
        <v>46</v>
      </c>
      <c r="BZ75" s="30">
        <f>BZ7+BZ11+BZ14+BZ16+BZ18+BZ19+BZ22+BZ24+BZ25+BZ29+BZ30+BZ31+BZ32+BZ33+BZ34+BZ35+BZ42+BZ43+BZ44</f>
        <v>0</v>
      </c>
      <c r="CA75" s="30">
        <f>CA7+CA11+CA14+CA16+CA18+CA19+CA22+CA24+CA25+CA29+CA30+CA31+CA32+CA33+CA34+CA35+CA42+CA43+CA44</f>
        <v>0</v>
      </c>
      <c r="CB75" s="30">
        <f>CB7+CB11+CB14+CB16+CB18+CB19+CB22+CB24+CB25+CB29+CB30+CB31+CB32+CB33+CB34+CB35+CB42+CB43+CB44</f>
        <v>0</v>
      </c>
      <c r="CC75" s="30">
        <f>CC7+CC11+CC14+CC16+CC18+CC19+CC22+CC24+CC25+CC29+CC30+CC31+CC32+CC33+CC34+CC35+CC42+CC43+CC44</f>
        <v>0</v>
      </c>
      <c r="CD75" s="30">
        <f>CD7+CD11+CD14+CD16+CD18+CD19+CD22+CD24+CD25+CD29+CD30+CD31+CD32+CD33+CD34+CD35+CD42+CD43+CD44</f>
        <v>13526.28</v>
      </c>
      <c r="CE75" s="30">
        <f>CE7+CE11+CE14+CE16+CE18+CE19+CE22+CE24+CE25+CE29+CE30+CE31+CE32+CE33+CE34+CE35+CE42+CE43+CE44</f>
        <v>0</v>
      </c>
      <c r="CF75" s="30">
        <f>CF7+CF11+CF14+CF16+CF18+CF19+CF22+CF24+CF25+CF29+CF30+CF31+CF32+CF33+CF34+CF35+CF42+CF43+CF44</f>
        <v>0</v>
      </c>
      <c r="CG75" s="30">
        <f>CG7+CG11+CG14+CG16+CG18+CG19+CG22+CG24+CG25+CG29+CG30+CG31+CG32+CG33+CG34+CG35+CG42+CG43+CG44</f>
        <v>0</v>
      </c>
      <c r="CH75" s="30">
        <f>CH7+CH11+CH14+CH16+CH18+CH19+CH22+CH24+CH25+CH29+CH30+CH31+CH32+CH33+CH34+CH35+CH42+CH43+CH44</f>
        <v>43481</v>
      </c>
      <c r="CI75" s="30">
        <f>CI7+CI11+CI14+CI16+CI18+CI19+CI22+CI24+CI25+CI29+CI30+CI31+CI32+CI33+CI34+CI35+CI42+CI43+CI44</f>
        <v>0</v>
      </c>
      <c r="CJ75" s="30">
        <f>CJ7+CJ11+CJ14+CJ16+CJ18+CJ19+CJ22+CJ24+CJ25+CJ29+CJ30+CJ31+CJ32+CJ33+CJ34+CJ35+CJ42+CJ43+CJ44</f>
        <v>43235.130000000005</v>
      </c>
      <c r="CK75" s="30">
        <f>CK7+CK11+CK14+CK16+CK18+CK19+CK22+CK24+CK25+CK29+CK30+CK31+CK32+CK33+CK34+CK35+CK42+CK43+CK44</f>
        <v>564.5899999999999</v>
      </c>
      <c r="CL75" s="30">
        <f>CL7+CL11+CL14+CL16+CL18+CL19+CL22+CL24+CL25+CL29+CL30+CL31+CL32+CL33+CL34+CL35+CL42+CL43+CL44</f>
        <v>0</v>
      </c>
      <c r="CM75" s="30">
        <f>CM7+CM11+CM14+CM16+CM18+CM19+CM22+CM24+CM25+CM29+CM30+CM31+CM32+CM33+CM34+CM35+CM42+CM43+CM44</f>
        <v>100807</v>
      </c>
      <c r="CN75" s="30">
        <f>CN7+CN11+CN14+CN16+CN18+CN19+CN22+CN24+CN25+CN29+CN30+CN31+CN32+CN33+CN34+CN35+CN42+CN43+CN44</f>
        <v>106808</v>
      </c>
      <c r="CO75" s="30">
        <f>CO7+CO11+CO14+CO16+CO18+CO19+CO22+CO24+CO25+CO29+CO30+CO31+CO32+CO33+CO34+CO35+CO42+CO43+CO44</f>
        <v>62248</v>
      </c>
      <c r="CP75" s="142"/>
      <c r="CQ75" s="30">
        <f>CQ7+CQ11+CQ14+CQ16+CQ18+CQ19+CQ22+CQ24+CQ25+CQ29+CQ30+CQ31+CQ32+CQ33+CQ34+CQ35+CQ42+CQ43+CQ44</f>
        <v>0</v>
      </c>
      <c r="CR75" s="30">
        <f>CR7+CR11+CR14+CR16+CR18+CR19+CR22+CR24+CR25+CR29+CR30+CR31+CR32+CR33+CR34+CR35+CR42+CR43+CR44</f>
        <v>0</v>
      </c>
      <c r="CS75" s="30">
        <f>CS7+CS11+CS14+CS16+CS18+CS19+CS22+CS24+CS25+CS29+CS30+CS31+CS32+CS33+CS34+CS35+CS42+CS43+CS44</f>
        <v>0</v>
      </c>
      <c r="CT75" s="142"/>
      <c r="CV75" s="30">
        <f>CV7+CV11+CV14+CV16+CV18+CV19+CV22+CV24+CV25+CV29+CV30+CV31+CV32+CV33+CV34+CV35+CV42+CV43+CV44</f>
        <v>0</v>
      </c>
      <c r="CW75" s="30">
        <f>CW7+CW11+CW14+CW16+CW18+CW19+CW22+CW24+CW25+CW29+CW30+CW31+CW32+CW33+CW34+CW35+CW42+CW43+CW44</f>
        <v>0</v>
      </c>
      <c r="CX75" s="30">
        <f>CX7+CX11+CX14+CX16+CX18+CX19+CX22+CX24+CX25+CX29+CX30+CX31+CX32+CX33+CX34+CX35+CX42+CX43+CX44</f>
        <v>19</v>
      </c>
      <c r="CY75" s="30">
        <f>CY7+CY11+CY14+CY16+CY18+CY19+CY22+CY24+CY25+CY29+CY30+CY31+CY32+CY33+CY34+CY35+CY42+CY43+CY44</f>
        <v>103130</v>
      </c>
      <c r="CZ75" s="30">
        <f>CZ7+CZ11+CZ14+CZ16+CZ18+CZ19+CZ22+CZ24+CZ25+CZ29+CZ30+CZ31+CZ32+CZ33+CZ34+CZ35+CZ42+CZ43+CZ44</f>
        <v>19</v>
      </c>
      <c r="DA75" s="30">
        <f>DA7+DA11+DA14+DA16+DA18+DA19+DA22+DA24+DA25+DA29+DA30+DA31+DA32+DA33+DA34+DA35+DA42+DA43+DA44</f>
        <v>103130</v>
      </c>
    </row>
    <row r="76" spans="2:105" s="5" customFormat="1" ht="12.75">
      <c r="B76" s="23"/>
      <c r="C76" s="5" t="s">
        <v>18</v>
      </c>
      <c r="G76" s="31">
        <f>G45+G46+G47+G48+G49+G50+G51</f>
        <v>7</v>
      </c>
      <c r="H76" s="146">
        <v>9</v>
      </c>
      <c r="I76" s="23"/>
      <c r="J76" s="31">
        <f>J45+J46+J47+J48+J49+J50+J51</f>
        <v>203296</v>
      </c>
      <c r="K76" s="31">
        <f>K45+K46+K47+K48+K49+K50+K51</f>
        <v>8443</v>
      </c>
      <c r="L76" s="31"/>
      <c r="M76" s="31">
        <f>M45+M46+M47+M48+M49+M50+M51</f>
        <v>9885</v>
      </c>
      <c r="N76" s="31">
        <f>N45+N46+N47+N48+N49+N50+N51</f>
        <v>0</v>
      </c>
      <c r="O76" s="31">
        <f>O45+O46+O47+O48+O49+O50+O51</f>
        <v>2384</v>
      </c>
      <c r="P76" s="31">
        <f>P45+P46+P47+P48+P49+P50+P51</f>
        <v>2384</v>
      </c>
      <c r="Q76" s="31">
        <f>Q45+Q46+Q47+Q48+Q49+Q50+Q51</f>
        <v>2121</v>
      </c>
      <c r="R76" s="31">
        <f>R45+R46+R47+R48+R49+R50+R51</f>
        <v>3118</v>
      </c>
      <c r="S76" s="31">
        <f>S45+S46+S47+S48+S49+S50+S51</f>
        <v>45726.74999999999</v>
      </c>
      <c r="T76" s="31">
        <f>T45+T46+T47+T48+T49+T50+T51</f>
        <v>32939.57</v>
      </c>
      <c r="U76" s="31">
        <f>U45+U46+U47+U48+U49+U50+U51</f>
        <v>1165</v>
      </c>
      <c r="V76" s="31">
        <f>V45+V46+V47+V48+V49+V50+V51</f>
        <v>22687.259999999995</v>
      </c>
      <c r="W76" s="31">
        <f>W45+W46+W47+W48+W49+W50+W51</f>
        <v>16380.310000000001</v>
      </c>
      <c r="X76" s="31">
        <f>X45+X46+X47+X48+X49+X50+X51</f>
        <v>1219</v>
      </c>
      <c r="Y76" s="31">
        <f>Y45+Y46+Y47+Y48+Y49+Y50+Y51</f>
        <v>23039.489999999998</v>
      </c>
      <c r="Z76" s="31">
        <f>Z45+Z46+Z47+Z48+Z49+Z50+Z51</f>
        <v>16559.260000000002</v>
      </c>
      <c r="AA76" s="31">
        <f>AA45+AA46+AA47+AA48+AA49+AA50+AA51</f>
        <v>825.33</v>
      </c>
      <c r="AB76" s="31">
        <f>AB45+AB46+AB47+AB48+AB49+AB50+AB51</f>
        <v>825.33</v>
      </c>
      <c r="AC76" s="31">
        <f>AC45+AC46+AC47+AC48+AC49+AC50+AC51</f>
        <v>0</v>
      </c>
      <c r="AD76" s="31">
        <f>AD45+AD46+AD47+AD48+AD49+AD50+AD51</f>
        <v>825.33</v>
      </c>
      <c r="AE76" s="31">
        <f>AE45+AE46+AE47+AE48+AE49+AE50+AE51</f>
        <v>0</v>
      </c>
      <c r="AF76" s="31">
        <f>AF45+AF46+AF47+AF48+AF49+AF50+AF51</f>
        <v>46552.07999999999</v>
      </c>
      <c r="AG76" s="31">
        <f>AG45+AG46+AG47+AG48+AG49+AG50+AG51</f>
        <v>0</v>
      </c>
      <c r="AH76" s="31">
        <f>AH45+AH46+AH47+AH48+AH49+AH50+AH51</f>
        <v>14</v>
      </c>
      <c r="AI76" s="31">
        <f>AI45+AI46+AI47+AI48+AI49+AI50+AI51</f>
        <v>14</v>
      </c>
      <c r="AJ76" s="31">
        <f>AJ45+AJ46+AJ47+AJ48+AJ49+AJ50+AJ51</f>
        <v>7</v>
      </c>
      <c r="AK76" s="31">
        <f>AK45+AK46+AK47+AK48+AK49+AK50+AK51</f>
        <v>0</v>
      </c>
      <c r="AL76" s="31">
        <f>AL45+AL46+AL47+AL48+AL49+AL50+AL51</f>
        <v>7</v>
      </c>
      <c r="AM76" s="31">
        <f>AM45+AM46+AM47+AM48+AM49+AM50+AM51</f>
        <v>31808</v>
      </c>
      <c r="AN76" s="31">
        <f>AN45+AN46+AN47+AN48+AN49+AN50+AN51</f>
        <v>0</v>
      </c>
      <c r="AO76" s="31">
        <f>AO45+AO46+AO47+AO48+AO49+AO50+AO51</f>
        <v>2082</v>
      </c>
      <c r="AP76" s="31">
        <f>AP45+AP46+AP47+AP48+AP49+AP50+AP51</f>
        <v>1721</v>
      </c>
      <c r="AQ76" s="31">
        <f>AQ45+AQ46+AQ47+AQ48+AQ49+AQ50+AQ51</f>
        <v>532</v>
      </c>
      <c r="AR76" s="31">
        <f>AR45+AR46+AR47+AR48+AR49+AR50+AR51</f>
        <v>50766</v>
      </c>
      <c r="AS76" s="31">
        <f>AS45+AS46+AS47+AS48+AS49+AS50+AS51</f>
        <v>0</v>
      </c>
      <c r="AT76" s="31">
        <f>AT45+AT46+AT47+AT48+AT49+AT50+AT51</f>
        <v>50766</v>
      </c>
      <c r="AU76" s="31">
        <f>AU45+AU46+AU47+AU48+AU49+AU50+AU51</f>
        <v>23005</v>
      </c>
      <c r="AV76" s="31">
        <f>AV45+AV46+AV47+AV48+AV49+AV50+AV51</f>
        <v>1686</v>
      </c>
      <c r="AW76" s="31">
        <f>AW45+AW46+AW47+AW48+AW49+AW50+AW51</f>
        <v>8197</v>
      </c>
      <c r="AX76" s="31">
        <f>AX45+AX46+AX47+AX48+AX49+AX50+AX51</f>
        <v>8197</v>
      </c>
      <c r="AY76" s="31">
        <f>AY45+AY46+AY47+AY48+AY49+AY50+AY51</f>
        <v>238</v>
      </c>
      <c r="AZ76" s="31">
        <f>AZ45+AZ46+AZ47+AZ48+AZ49+AZ50+AZ51</f>
        <v>427</v>
      </c>
      <c r="BA76" s="31">
        <f>BA45+BA46+BA47+BA48+BA49+BA50+BA51</f>
        <v>2573</v>
      </c>
      <c r="BB76" s="31">
        <f>BB45+BB46+BB47+BB48+BB49+BB50+BB51</f>
        <v>7574</v>
      </c>
      <c r="BC76" s="31">
        <f>BC45+BC46+BC47+BC48+BC49+BC50+BC51</f>
        <v>7</v>
      </c>
      <c r="BD76" s="31">
        <f>BD45+BD46+BD47+BD48+BD49+BD50+BD51</f>
        <v>119000</v>
      </c>
      <c r="BE76" s="31">
        <f>BE45+BE46+BE47+BE48+BE49+BE50+BE51</f>
        <v>4970</v>
      </c>
      <c r="BF76" s="31">
        <f>BF45+BF46+BF47+BF48+BF49+BF50+BF51</f>
        <v>1400</v>
      </c>
      <c r="BG76" s="31">
        <f>BG45+BG46+BG47+BG48+BG49+BG50+BG51</f>
        <v>0</v>
      </c>
      <c r="BH76" s="31">
        <f>BH45+BH46+BH47+BH48+BH49+BH50+BH51</f>
        <v>0</v>
      </c>
      <c r="BI76" s="31">
        <f>BI45+BI46+BI47+BI48+BI49+BI50+BI51</f>
        <v>0</v>
      </c>
      <c r="BJ76" s="31">
        <f>BJ45+BJ46+BJ47+BJ48+BJ49+BJ50+BJ51</f>
        <v>7</v>
      </c>
      <c r="BK76" s="31">
        <f>BK45+BK46+BK47+BK48+BK49+BK50+BK51</f>
        <v>45726.74999999999</v>
      </c>
      <c r="BL76" s="31">
        <f>BL45+BL46+BL47+BL48+BL49+BL50+BL51</f>
        <v>32939.57</v>
      </c>
      <c r="BM76" s="31">
        <f>BM45+BM46+BM47+BM48+BM49+BM50+BM51</f>
        <v>0</v>
      </c>
      <c r="BN76" s="31">
        <f>BN45+BN46+BN47+BN48+BN49+BN50+BN51</f>
        <v>0</v>
      </c>
      <c r="BO76" s="31">
        <f>BO45+BO46+BO47+BO48+BO49+BO50+BO51</f>
        <v>0</v>
      </c>
      <c r="BP76" s="31">
        <f>BP45+BP46+BP47+BP48+BP49+BP50+BP51</f>
        <v>0</v>
      </c>
      <c r="BQ76" s="31">
        <f>BQ45+BQ46+BQ47+BQ48+BQ49+BQ50+BQ51</f>
        <v>0</v>
      </c>
      <c r="BR76" s="31">
        <f>BR45+BR46+BR47+BR48+BR49+BR50+BR51</f>
        <v>0</v>
      </c>
      <c r="BS76" s="31">
        <f>BS45+BS46+BS47+BS48+BS49+BS50+BS51</f>
        <v>0</v>
      </c>
      <c r="BT76" s="31">
        <f>BT45+BT46+BT47+BT48+BT49+BT50+BT51</f>
        <v>0</v>
      </c>
      <c r="BU76" s="31">
        <f>BU45+BU46+BU47+BU48+BU49+BU50+BU51</f>
        <v>0</v>
      </c>
      <c r="BV76" s="31">
        <f>BV45+BV46+BV47+BV48+BV49+BV50+BV51</f>
        <v>1201.9</v>
      </c>
      <c r="BW76" s="31">
        <f>BW45+BW46+BW47+BW48+BW49+BW50+BW51</f>
        <v>707.98</v>
      </c>
      <c r="BX76" s="31">
        <f>BX45+BX46+BX47+BX48+BX49+BX50+BX51</f>
        <v>16315.460000000003</v>
      </c>
      <c r="BY76" s="31">
        <f>BY45+BY46+BY47+BY48+BY49+BY50+BY51</f>
        <v>14</v>
      </c>
      <c r="BZ76" s="31">
        <f>BZ45+BZ46+BZ47+BZ48+BZ49+BZ50+BZ51</f>
        <v>0</v>
      </c>
      <c r="CA76" s="31">
        <f>CA45+CA46+CA47+CA48+CA49+CA50+CA51</f>
        <v>0</v>
      </c>
      <c r="CB76" s="31">
        <f>CB45+CB46+CB47+CB48+CB49+CB50+CB51</f>
        <v>0</v>
      </c>
      <c r="CC76" s="31">
        <f>CC45+CC46+CC47+CC48+CC49+CC50+CC51</f>
        <v>0</v>
      </c>
      <c r="CD76" s="31">
        <f>CD45+CD46+CD47+CD48+CD49+CD50+CD51</f>
        <v>1762.16</v>
      </c>
      <c r="CE76" s="31">
        <f>CE45+CE46+CE47+CE48+CE49+CE50+CE51</f>
        <v>11145.11</v>
      </c>
      <c r="CF76" s="31">
        <f>CF45+CF46+CF47+CF48+CF49+CF50+CF51</f>
        <v>40.480000000000004</v>
      </c>
      <c r="CG76" s="31">
        <f>CG45+CG46+CG47+CG48+CG49+CG50+CG51</f>
        <v>1937.46</v>
      </c>
      <c r="CH76" s="31">
        <f>CH45+CH46+CH47+CH48+CH49+CH50+CH51</f>
        <v>8014.01</v>
      </c>
      <c r="CI76" s="31">
        <f>CI45+CI46+CI47+CI48+CI49+CI50+CI51</f>
        <v>0</v>
      </c>
      <c r="CJ76" s="31">
        <f>CJ45+CJ46+CJ47+CJ48+CJ49+CJ50+CJ51</f>
        <v>8208</v>
      </c>
      <c r="CK76" s="31">
        <f>CK45+CK46+CK47+CK48+CK49+CK50+CK51</f>
        <v>239.20000000000002</v>
      </c>
      <c r="CL76" s="31">
        <f>CL45+CL46+CL47+CL48+CL49+CL50+CL51</f>
        <v>866.3000000000001</v>
      </c>
      <c r="CM76" s="31">
        <f>CM45+CM46+CM47+CM48+CM49+CM50+CM51</f>
        <v>32212.72</v>
      </c>
      <c r="CN76" s="31">
        <f>CN45+CN46+CN47+CN48+CN49+CN50+CN51</f>
        <v>21269</v>
      </c>
      <c r="CO76" s="31">
        <f>CO45+CO46+CO47+CO48+CO49+CO50+CO51</f>
        <v>12826</v>
      </c>
      <c r="CP76" s="134"/>
      <c r="CQ76" s="31">
        <f>CQ45+CQ46+CQ47+CQ48+CQ49+CQ50+CQ51</f>
        <v>0</v>
      </c>
      <c r="CR76" s="31">
        <f>CR45+CR46+CR47+CR48+CR49+CR50+CR51</f>
        <v>0</v>
      </c>
      <c r="CS76" s="31">
        <f>CS45+CS46+CS47+CS48+CS49+CS50+CS51</f>
        <v>0</v>
      </c>
      <c r="CT76" s="134"/>
      <c r="CV76" s="31">
        <f>CV45+CV46+CV47+CV48+CV49+CV50+CV51</f>
        <v>0</v>
      </c>
      <c r="CW76" s="31">
        <f>CW45+CW46+CW47+CW48+CW49+CW50+CW51</f>
        <v>0</v>
      </c>
      <c r="CX76" s="31">
        <f>CX45+CX46+CX47+CX48+CX49+CX50+CX51</f>
        <v>7</v>
      </c>
      <c r="CY76" s="31">
        <f>CY45+CY46+CY47+CY48+CY49+CY50+CY51</f>
        <v>50766</v>
      </c>
      <c r="CZ76" s="31">
        <f>CZ45+CZ46+CZ47+CZ48+CZ49+CZ50+CZ51</f>
        <v>7</v>
      </c>
      <c r="DA76" s="31">
        <f>DA45+DA46+DA47+DA48+DA49+DA50+DA51</f>
        <v>50766</v>
      </c>
    </row>
    <row r="77" spans="5:98" ht="12.75">
      <c r="E77" s="26"/>
      <c r="F77" s="26"/>
      <c r="H77" s="27"/>
      <c r="I77" s="27"/>
      <c r="S77" s="1"/>
      <c r="T77" s="1"/>
      <c r="AB77" s="1"/>
      <c r="AP77" s="1"/>
      <c r="CL77" s="1"/>
      <c r="CQ77" s="1"/>
      <c r="CR77" s="1"/>
      <c r="CS77" s="1"/>
      <c r="CT77" s="28"/>
    </row>
    <row r="78" spans="3:98" ht="12.75">
      <c r="C78" s="32"/>
      <c r="E78" s="26"/>
      <c r="F78" s="26"/>
      <c r="H78" s="27"/>
      <c r="I78" s="27"/>
      <c r="S78" s="1"/>
      <c r="T78" s="1"/>
      <c r="AB78" s="1"/>
      <c r="AP78" s="1"/>
      <c r="CL78" s="1"/>
      <c r="CQ78" s="1"/>
      <c r="CR78" s="1"/>
      <c r="CS78" s="1"/>
      <c r="CT78" s="28"/>
    </row>
    <row r="79" spans="2:113" s="50" customFormat="1" ht="12.75">
      <c r="B79" s="147"/>
      <c r="C79" s="148" t="s">
        <v>170</v>
      </c>
      <c r="D79" s="149"/>
      <c r="E79" s="150"/>
      <c r="F79" s="150"/>
      <c r="G79" s="149">
        <f>G80+G81</f>
        <v>15</v>
      </c>
      <c r="H79" s="147"/>
      <c r="I79" s="151"/>
      <c r="J79" s="58">
        <f>J80+J81</f>
        <v>393619</v>
      </c>
      <c r="K79" s="58">
        <f>K80+K81</f>
        <v>17454</v>
      </c>
      <c r="L79" s="58"/>
      <c r="M79" s="58">
        <f>M80+M81</f>
        <v>12192</v>
      </c>
      <c r="N79" s="58">
        <f>N80+N81</f>
        <v>7379</v>
      </c>
      <c r="O79" s="58">
        <f>O80+O81</f>
        <v>4459</v>
      </c>
      <c r="P79" s="58">
        <f>P80+P81</f>
        <v>4469</v>
      </c>
      <c r="Q79" s="58">
        <f>Q80+Q81</f>
        <v>4180</v>
      </c>
      <c r="R79" s="58">
        <f>R80+R81</f>
        <v>6276</v>
      </c>
      <c r="S79" s="58">
        <f>S80+S81</f>
        <v>84832.34</v>
      </c>
      <c r="T79" s="58">
        <f>T80+T81</f>
        <v>61850.08000000001</v>
      </c>
      <c r="U79" s="58">
        <f>U80+U81</f>
        <v>1739</v>
      </c>
      <c r="V79" s="58">
        <f>V80+V81</f>
        <v>33712.17</v>
      </c>
      <c r="W79" s="58">
        <f>W80+W81</f>
        <v>24591.579999999998</v>
      </c>
      <c r="X79" s="58">
        <f>X80+X81</f>
        <v>2720</v>
      </c>
      <c r="Y79" s="58">
        <f>Y80+Y81</f>
        <v>51120.16999999999</v>
      </c>
      <c r="Z79" s="58">
        <f>Z80+Z81</f>
        <v>37258.5</v>
      </c>
      <c r="AA79" s="58">
        <f>AA80+AA81</f>
        <v>3427.1499999999996</v>
      </c>
      <c r="AB79" s="58">
        <f>AB80+AB81</f>
        <v>2563.6499999999996</v>
      </c>
      <c r="AC79" s="58">
        <f>AC80+AC81</f>
        <v>0</v>
      </c>
      <c r="AD79" s="58">
        <f>AD80+AD81</f>
        <v>2563.6499999999996</v>
      </c>
      <c r="AE79" s="58">
        <f>AE80+AE81</f>
        <v>863.5</v>
      </c>
      <c r="AF79" s="58">
        <f>AF80+AF81</f>
        <v>88259.48999999999</v>
      </c>
      <c r="AG79" s="58">
        <f>AG80+AG81</f>
        <v>0</v>
      </c>
      <c r="AH79" s="58">
        <f>AH80+AH81</f>
        <v>24</v>
      </c>
      <c r="AI79" s="58">
        <f>AI80+AI81</f>
        <v>32</v>
      </c>
      <c r="AJ79" s="58">
        <f>AJ80+AJ81</f>
        <v>15</v>
      </c>
      <c r="AK79" s="58">
        <f>AK80+AK81</f>
        <v>0</v>
      </c>
      <c r="AL79" s="58">
        <f>AL80+AL81</f>
        <v>15</v>
      </c>
      <c r="AM79" s="58">
        <f>AM80+AM81</f>
        <v>56255</v>
      </c>
      <c r="AN79" s="58">
        <f>AN80+AN81</f>
        <v>0</v>
      </c>
      <c r="AO79" s="58">
        <f>AO80+AO81</f>
        <v>4899</v>
      </c>
      <c r="AP79" s="58">
        <f>AP80+AP81</f>
        <v>4367</v>
      </c>
      <c r="AQ79" s="58">
        <f>AQ80+AQ81</f>
        <v>13485</v>
      </c>
      <c r="AR79" s="58">
        <f>AR80+AR81</f>
        <v>113339</v>
      </c>
      <c r="AS79" s="58">
        <f>AS80+AS81</f>
        <v>0</v>
      </c>
      <c r="AT79" s="58">
        <f>AT80+AT81</f>
        <v>113339</v>
      </c>
      <c r="AU79" s="58">
        <f>AU80+AU81</f>
        <v>39445</v>
      </c>
      <c r="AV79" s="58">
        <f>AV80+AV81</f>
        <v>3167</v>
      </c>
      <c r="AW79" s="58">
        <f>AW80+AW81</f>
        <v>17559</v>
      </c>
      <c r="AX79" s="58">
        <f>AX80+AX81</f>
        <v>17559</v>
      </c>
      <c r="AY79" s="58">
        <f>AY80+AY81</f>
        <v>818</v>
      </c>
      <c r="AZ79" s="58">
        <f>AZ80+AZ81</f>
        <v>905</v>
      </c>
      <c r="BA79" s="58">
        <f>BA80+BA81</f>
        <v>5253</v>
      </c>
      <c r="BB79" s="58">
        <f>BB80+BB81</f>
        <v>14786</v>
      </c>
      <c r="BC79" s="58">
        <f>BC80+BC81</f>
        <v>15</v>
      </c>
      <c r="BD79" s="58">
        <f>BD80+BD81</f>
        <v>141252</v>
      </c>
      <c r="BE79" s="58">
        <f>BE80+BE81</f>
        <v>4625</v>
      </c>
      <c r="BF79" s="58">
        <f>BF80+BF81</f>
        <v>2400</v>
      </c>
      <c r="BG79" s="58">
        <f>BG80+BG81</f>
        <v>3</v>
      </c>
      <c r="BH79" s="58">
        <f>BH80+BH81</f>
        <v>6255.62</v>
      </c>
      <c r="BI79" s="58">
        <f>BI80+BI81</f>
        <v>4671.36</v>
      </c>
      <c r="BJ79" s="58">
        <f>BJ80+BJ81</f>
        <v>12</v>
      </c>
      <c r="BK79" s="58">
        <f>BK80+BK81</f>
        <v>78576.72</v>
      </c>
      <c r="BL79" s="58">
        <f>BL80+BL81</f>
        <v>57178.72000000001</v>
      </c>
      <c r="BM79" s="58">
        <f>BM80+BM81</f>
        <v>0</v>
      </c>
      <c r="BN79" s="58">
        <f>BN80+BN81</f>
        <v>0</v>
      </c>
      <c r="BO79" s="58">
        <f>BO80+BO81</f>
        <v>0</v>
      </c>
      <c r="BP79" s="58">
        <f>BP80+BP81</f>
        <v>0</v>
      </c>
      <c r="BQ79" s="58">
        <f>BQ80+BQ81</f>
        <v>3</v>
      </c>
      <c r="BR79" s="58">
        <f>BR80+BR81</f>
        <v>0</v>
      </c>
      <c r="BS79" s="58">
        <f>BS80+BS81</f>
        <v>0</v>
      </c>
      <c r="BT79" s="58">
        <f>BT80+BT81</f>
        <v>104</v>
      </c>
      <c r="BU79" s="58">
        <f>BU80+BU81</f>
        <v>7805</v>
      </c>
      <c r="BV79" s="58">
        <f>BV80+BV81</f>
        <v>2590.16</v>
      </c>
      <c r="BW79" s="58">
        <f>BW80+BW81</f>
        <v>1411.68</v>
      </c>
      <c r="BX79" s="58">
        <f>BX80+BX81</f>
        <v>29955.92</v>
      </c>
      <c r="BY79" s="58">
        <f>BY80+BY81</f>
        <v>4</v>
      </c>
      <c r="BZ79" s="58">
        <f>BZ80+BZ81</f>
        <v>0</v>
      </c>
      <c r="CA79" s="58">
        <f>CA80+CA81</f>
        <v>0</v>
      </c>
      <c r="CB79" s="58">
        <f>CB80+CB81</f>
        <v>0</v>
      </c>
      <c r="CC79" s="58">
        <f>CC80+CC81</f>
        <v>0</v>
      </c>
      <c r="CD79" s="58">
        <f>CD80+CD81</f>
        <v>3506.3900000000003</v>
      </c>
      <c r="CE79" s="58">
        <f>CE80+CE81</f>
        <v>20882.499999999996</v>
      </c>
      <c r="CF79" s="58">
        <f>CF80+CF81</f>
        <v>56.99</v>
      </c>
      <c r="CG79" s="58">
        <f>CG80+CG81</f>
        <v>4075.34</v>
      </c>
      <c r="CH79" s="58">
        <f>CH80+CH81</f>
        <v>10501.15</v>
      </c>
      <c r="CI79" s="58">
        <f>CI80+CI81</f>
        <v>0</v>
      </c>
      <c r="CJ79" s="58">
        <f>CJ80+CJ81</f>
        <v>17560</v>
      </c>
      <c r="CK79" s="58">
        <f>CK80+CK81</f>
        <v>499.6</v>
      </c>
      <c r="CL79" s="58">
        <f>CL80+CL81</f>
        <v>1797.5400000000002</v>
      </c>
      <c r="CM79" s="58">
        <f>CM80+CM81</f>
        <v>58879.509999999995</v>
      </c>
      <c r="CN79" s="58">
        <f>CN80+CN81</f>
        <v>41094</v>
      </c>
      <c r="CO79" s="58">
        <f>CO80+CO81</f>
        <v>23640</v>
      </c>
      <c r="CP79" s="58"/>
      <c r="CQ79" s="58">
        <f>CQ80+CQ81</f>
        <v>0</v>
      </c>
      <c r="CR79" s="58">
        <f>CR80+CR81</f>
        <v>0</v>
      </c>
      <c r="CS79" s="58">
        <f>CS80+CS81</f>
        <v>0</v>
      </c>
      <c r="CT79" s="152"/>
      <c r="CU79" s="149"/>
      <c r="CV79" s="58">
        <f>CV80+CV81</f>
        <v>0</v>
      </c>
      <c r="CW79" s="58">
        <f>CW80+CW81</f>
        <v>0</v>
      </c>
      <c r="CX79" s="58">
        <f>CX80+CX81</f>
        <v>15</v>
      </c>
      <c r="CY79" s="58">
        <f>CY80+CY81</f>
        <v>113339</v>
      </c>
      <c r="CZ79" s="58">
        <f>CZ80+CZ81</f>
        <v>15</v>
      </c>
      <c r="DA79" s="58">
        <f>DA80+DA81</f>
        <v>113339</v>
      </c>
      <c r="DB79" s="149"/>
      <c r="DC79" s="149"/>
      <c r="DD79" s="149"/>
      <c r="DE79" s="149"/>
      <c r="DF79" s="149"/>
      <c r="DG79" s="149"/>
      <c r="DH79" s="149"/>
      <c r="DI79" s="149"/>
    </row>
    <row r="80" spans="3:105" ht="12.75">
      <c r="C80" s="48" t="s">
        <v>171</v>
      </c>
      <c r="E80" s="26"/>
      <c r="F80" s="26"/>
      <c r="G80" s="46">
        <f>G54+G64+G66</f>
        <v>3</v>
      </c>
      <c r="H80" s="144">
        <v>5</v>
      </c>
      <c r="I80" s="27"/>
      <c r="J80" s="46">
        <f>J54+J64+J66</f>
        <v>43976</v>
      </c>
      <c r="K80" s="46">
        <f>K54+K64+K66</f>
        <v>2933</v>
      </c>
      <c r="L80" s="46"/>
      <c r="M80" s="46">
        <f>M54+M64+M66</f>
        <v>3746</v>
      </c>
      <c r="N80" s="46">
        <f>N54+N64+N66</f>
        <v>0</v>
      </c>
      <c r="O80" s="46">
        <f>O54+O64+O66</f>
        <v>344</v>
      </c>
      <c r="P80" s="46">
        <f>P54+P64+P66</f>
        <v>354</v>
      </c>
      <c r="Q80" s="46">
        <f>Q54+Q64+Q66</f>
        <v>289</v>
      </c>
      <c r="R80" s="46">
        <f>R54+R64+R66</f>
        <v>272</v>
      </c>
      <c r="S80" s="46">
        <f>S54+S64+S66</f>
        <v>6255.62</v>
      </c>
      <c r="T80" s="46">
        <f>T54+T64+T66</f>
        <v>4671.36</v>
      </c>
      <c r="U80" s="46">
        <f>U54+U64+U66</f>
        <v>36</v>
      </c>
      <c r="V80" s="46">
        <f>V54+V64+V66</f>
        <v>726.78</v>
      </c>
      <c r="W80" s="46">
        <f>W54+W64+W66</f>
        <v>513.6500000000001</v>
      </c>
      <c r="X80" s="46">
        <f>X54+X64+X66</f>
        <v>308</v>
      </c>
      <c r="Y80" s="46">
        <f>Y54+Y64+Y66</f>
        <v>5528.839999999999</v>
      </c>
      <c r="Z80" s="46">
        <f>Z54+Z64+Z66</f>
        <v>4157.709999999999</v>
      </c>
      <c r="AA80" s="46">
        <f>AA54+AA64+AA66</f>
        <v>1975.3300000000002</v>
      </c>
      <c r="AB80" s="46">
        <f>AB54+AB64+AB66</f>
        <v>1111.8300000000002</v>
      </c>
      <c r="AC80" s="46">
        <f>AC54+AC64+AC66</f>
        <v>0</v>
      </c>
      <c r="AD80" s="46">
        <f>AD54+AD64+AD66</f>
        <v>1111.8300000000002</v>
      </c>
      <c r="AE80" s="46">
        <f>AE54+AE64+AE66</f>
        <v>863.5</v>
      </c>
      <c r="AF80" s="46">
        <f>AF54+AF64+AF66</f>
        <v>8230.95</v>
      </c>
      <c r="AG80" s="46">
        <f>AG54+AG64+AG66</f>
        <v>0</v>
      </c>
      <c r="AH80" s="46">
        <f>AH54+AH64+AH66</f>
        <v>0</v>
      </c>
      <c r="AI80" s="46">
        <f>AI54+AI64+AI66</f>
        <v>8</v>
      </c>
      <c r="AJ80" s="46">
        <f>AJ54+AJ64+AJ66</f>
        <v>3</v>
      </c>
      <c r="AK80" s="46">
        <f>AK54+AK64+AK66</f>
        <v>0</v>
      </c>
      <c r="AL80" s="46">
        <f>AL54+AL64+AL66</f>
        <v>3</v>
      </c>
      <c r="AM80" s="46">
        <f>AM54+AM64+AM66</f>
        <v>7805</v>
      </c>
      <c r="AN80" s="46">
        <f>AN54+AN64+AN66</f>
        <v>0</v>
      </c>
      <c r="AO80" s="46">
        <f>AO54+AO64+AO66</f>
        <v>897</v>
      </c>
      <c r="AP80" s="46">
        <f>AP54+AP64+AP66</f>
        <v>911</v>
      </c>
      <c r="AQ80" s="46">
        <f>AQ54+AQ64+AQ66</f>
        <v>1512</v>
      </c>
      <c r="AR80" s="46">
        <f>AR54+AR64+AR66</f>
        <v>7669</v>
      </c>
      <c r="AS80" s="46">
        <f>AS54+AS64+AS66</f>
        <v>0</v>
      </c>
      <c r="AT80" s="46">
        <f>AT54+AT64+AT66</f>
        <v>7669</v>
      </c>
      <c r="AU80" s="46">
        <f>AU54+AU64+AU66</f>
        <v>0</v>
      </c>
      <c r="AV80" s="46">
        <f>AV54+AV64+AV66</f>
        <v>493</v>
      </c>
      <c r="AW80" s="46">
        <f>AW54+AW64+AW66</f>
        <v>3495</v>
      </c>
      <c r="AX80" s="46">
        <f>AX54+AX64+AX66</f>
        <v>3495</v>
      </c>
      <c r="AY80" s="46">
        <f>AY54+AY64+AY66</f>
        <v>56</v>
      </c>
      <c r="AZ80" s="46">
        <f>AZ54+AZ64+AZ66</f>
        <v>82</v>
      </c>
      <c r="BA80" s="46">
        <f>BA54+BA64+BA66</f>
        <v>618</v>
      </c>
      <c r="BB80" s="46">
        <f>BB54+BB64+BB66</f>
        <v>1598</v>
      </c>
      <c r="BC80" s="46">
        <f>BC54+BC64+BC66</f>
        <v>3</v>
      </c>
      <c r="BD80" s="46">
        <f>BD54+BD64+BD66</f>
        <v>11151</v>
      </c>
      <c r="BE80" s="46">
        <f>BE54+BE64+BE66</f>
        <v>470</v>
      </c>
      <c r="BF80" s="46">
        <f>BF54+BF64+BF66</f>
        <v>0</v>
      </c>
      <c r="BG80" s="46">
        <f>BG54+BG64+BG66</f>
        <v>3</v>
      </c>
      <c r="BH80" s="46">
        <f>BH54+BH64+BH66</f>
        <v>6255.62</v>
      </c>
      <c r="BI80" s="46">
        <f>BI54+BI64+BI66</f>
        <v>4671.36</v>
      </c>
      <c r="BJ80" s="46">
        <f>BJ54+BJ64+BJ66</f>
        <v>0</v>
      </c>
      <c r="BK80" s="46">
        <f>BK54+BK64+BK66</f>
        <v>0</v>
      </c>
      <c r="BL80" s="46">
        <f>BL54+BL64+BL66</f>
        <v>0</v>
      </c>
      <c r="BM80" s="46">
        <f>BM54+BM64+BM66</f>
        <v>0</v>
      </c>
      <c r="BN80" s="46">
        <f>BN54+BN64+BN66</f>
        <v>0</v>
      </c>
      <c r="BO80" s="46">
        <f>BO54+BO64+BO66</f>
        <v>0</v>
      </c>
      <c r="BP80" s="46">
        <f>BP54+BP64+BP66</f>
        <v>0</v>
      </c>
      <c r="BQ80" s="46">
        <f>BQ54+BQ64+BQ66</f>
        <v>0</v>
      </c>
      <c r="BR80" s="46">
        <f>BR54+BR64+BR66</f>
        <v>0</v>
      </c>
      <c r="BS80" s="46">
        <f>BS54+BS64+BS66</f>
        <v>0</v>
      </c>
      <c r="BT80" s="46">
        <f>BT54+BT64+BT66</f>
        <v>0</v>
      </c>
      <c r="BU80" s="46">
        <f>BU54+BU64+BU66</f>
        <v>7805</v>
      </c>
      <c r="BV80" s="46">
        <f>BV54+BV64+BV66</f>
        <v>529.76</v>
      </c>
      <c r="BW80" s="46">
        <f>BW54+BW64+BW66</f>
        <v>198</v>
      </c>
      <c r="BX80" s="46">
        <f>BX54+BX64+BX66</f>
        <v>1986.56</v>
      </c>
      <c r="BY80" s="46">
        <f>BY54+BY64+BY66</f>
        <v>2</v>
      </c>
      <c r="BZ80" s="46">
        <f>BZ54+BZ64+BZ66</f>
        <v>0</v>
      </c>
      <c r="CA80" s="46">
        <f>CA54+CA64+CA66</f>
        <v>0</v>
      </c>
      <c r="CB80" s="46">
        <f>CB54+CB64+CB66</f>
        <v>0</v>
      </c>
      <c r="CC80" s="46">
        <f>CC54+CC64+CC66</f>
        <v>0</v>
      </c>
      <c r="CD80" s="46">
        <f>CD54+CD64+CD66</f>
        <v>490.43000000000006</v>
      </c>
      <c r="CE80" s="46">
        <f>CE54+CE64+CE66</f>
        <v>1596.21</v>
      </c>
      <c r="CF80" s="46">
        <f>CF54+CF64+CF66</f>
        <v>0</v>
      </c>
      <c r="CG80" s="46">
        <f>CG54+CG64+CG66</f>
        <v>732.73</v>
      </c>
      <c r="CH80" s="46">
        <f>CH54+CH64+CH66</f>
        <v>3495</v>
      </c>
      <c r="CI80" s="46">
        <f>CI54+CI64+CI66</f>
        <v>0</v>
      </c>
      <c r="CJ80" s="46">
        <f>CJ54+CJ64+CJ66</f>
        <v>3495</v>
      </c>
      <c r="CK80" s="46">
        <f>CK54+CK64+CK66</f>
        <v>62</v>
      </c>
      <c r="CL80" s="46">
        <f>CL54+CL64+CL66</f>
        <v>26</v>
      </c>
      <c r="CM80" s="46">
        <f>CM54+CM64+CM66</f>
        <v>9897.369999999999</v>
      </c>
      <c r="CN80" s="46">
        <f>CN54+CN64+CN66</f>
        <v>8590</v>
      </c>
      <c r="CO80" s="46">
        <f>CO54+CO64+CO66</f>
        <v>5657</v>
      </c>
      <c r="CP80" s="46"/>
      <c r="CQ80" s="46">
        <f>CQ54+CQ64+CQ66</f>
        <v>0</v>
      </c>
      <c r="CR80" s="46">
        <f>CR54+CR64+CR66</f>
        <v>0</v>
      </c>
      <c r="CS80" s="46">
        <f>CS54+CS64+CS66</f>
        <v>0</v>
      </c>
      <c r="CT80" s="28"/>
      <c r="CV80" s="46">
        <f>CV54+CV64+CV66</f>
        <v>0</v>
      </c>
      <c r="CW80" s="46">
        <f>CW54+CW64+CW66</f>
        <v>0</v>
      </c>
      <c r="CX80" s="46">
        <f>CX54+CX64+CX66</f>
        <v>3</v>
      </c>
      <c r="CY80" s="46">
        <f>CY54+CY64+CY66</f>
        <v>7669</v>
      </c>
      <c r="CZ80" s="46">
        <f>CZ54+CZ64+CZ66</f>
        <v>3</v>
      </c>
      <c r="DA80" s="46">
        <f>DA54+DA64+DA66</f>
        <v>7669</v>
      </c>
    </row>
    <row r="81" spans="3:105" ht="12.75">
      <c r="C81" s="48" t="s">
        <v>172</v>
      </c>
      <c r="E81" s="26"/>
      <c r="F81" s="26"/>
      <c r="G81" s="46">
        <f>G52+G53+G55+G56+G57+G58+G59+G60+G61+G62+G63+G65</f>
        <v>12</v>
      </c>
      <c r="H81" s="144">
        <v>9</v>
      </c>
      <c r="I81" s="27"/>
      <c r="J81" s="46">
        <f>J52+J53+J55+J56+J57+J58+J59+J60+J61+J62+J63+J65</f>
        <v>349643</v>
      </c>
      <c r="K81" s="46">
        <f>K52+K53+K55+K56+K57+K58+K59+K60+K61+K62+K63+K65</f>
        <v>14521</v>
      </c>
      <c r="L81" s="46"/>
      <c r="M81" s="46">
        <f>M52+M53+M55+M56+M57+M58+M59+M60+M61+M62+M63+M65</f>
        <v>8446</v>
      </c>
      <c r="N81" s="46">
        <f>N52+N53+N55+N56+N57+N58+N59+N60+N61+N62+N63+N65</f>
        <v>7379</v>
      </c>
      <c r="O81" s="46">
        <f>O52+O53+O55+O56+O57+O58+O59+O60+O61+O62+O63+O65</f>
        <v>4115</v>
      </c>
      <c r="P81" s="46">
        <f>P52+P53+P55+P56+P57+P58+P59+P60+P61+P62+P63+P65</f>
        <v>4115</v>
      </c>
      <c r="Q81" s="46">
        <f>Q52+Q53+Q55+Q56+Q57+Q58+Q59+Q60+Q61+Q62+Q63+Q65</f>
        <v>3891</v>
      </c>
      <c r="R81" s="46">
        <f>R52+R53+R55+R56+R57+R58+R59+R60+R61+R62+R63+R65</f>
        <v>6004</v>
      </c>
      <c r="S81" s="46">
        <f>S52+S53+S55+S56+S57+S58+S59+S60+S61+S62+S63+S65</f>
        <v>78576.72</v>
      </c>
      <c r="T81" s="46">
        <f>T52+T53+T55+T56+T57+T58+T59+T60+T61+T62+T63+T65</f>
        <v>57178.72000000001</v>
      </c>
      <c r="U81" s="46">
        <f>U52+U53+U55+U56+U57+U58+U59+U60+U61+U62+U63+U65</f>
        <v>1703</v>
      </c>
      <c r="V81" s="46">
        <f>V52+V53+V55+V56+V57+V58+V59+V60+V61+V62+V63+V65</f>
        <v>32985.39</v>
      </c>
      <c r="W81" s="46">
        <f>W52+W53+W55+W56+W57+W58+W59+W60+W61+W62+W63+W65</f>
        <v>24077.929999999997</v>
      </c>
      <c r="X81" s="46">
        <f>X52+X53+X55+X56+X57+X58+X59+X60+X61+X62+X63+X65</f>
        <v>2412</v>
      </c>
      <c r="Y81" s="46">
        <f>Y52+Y53+Y55+Y56+Y57+Y58+Y59+Y60+Y61+Y62+Y63+Y65</f>
        <v>45591.329999999994</v>
      </c>
      <c r="Z81" s="46">
        <f>Z52+Z53+Z55+Z56+Z57+Z58+Z59+Z60+Z61+Z62+Z63+Z65</f>
        <v>33100.79</v>
      </c>
      <c r="AA81" s="46">
        <f>AA52+AA53+AA55+AA56+AA57+AA58+AA59+AA60+AA61+AA62+AA63+AA65</f>
        <v>1451.8199999999997</v>
      </c>
      <c r="AB81" s="46">
        <f>AB52+AB53+AB55+AB56+AB57+AB58+AB59+AB60+AB61+AB62+AB63+AB65</f>
        <v>1451.8199999999997</v>
      </c>
      <c r="AC81" s="46">
        <f>AC52+AC53+AC55+AC56+AC57+AC58+AC59+AC60+AC61+AC62+AC63+AC65</f>
        <v>0</v>
      </c>
      <c r="AD81" s="46">
        <f>AD52+AD53+AD55+AD56+AD57+AD58+AD59+AD60+AD61+AD62+AD63+AD65</f>
        <v>1451.8199999999997</v>
      </c>
      <c r="AE81" s="46">
        <f>AE52+AE53+AE55+AE56+AE57+AE58+AE59+AE60+AE61+AE62+AE63+AE65</f>
        <v>0</v>
      </c>
      <c r="AF81" s="46">
        <f>AF52+AF53+AF55+AF56+AF57+AF58+AF59+AF60+AF61+AF62+AF63+AF65</f>
        <v>80028.54</v>
      </c>
      <c r="AG81" s="46">
        <f>AG52+AG53+AG55+AG56+AG57+AG58+AG59+AG60+AG61+AG62+AG63+AG65</f>
        <v>0</v>
      </c>
      <c r="AH81" s="46">
        <f>AH52+AH53+AH55+AH56+AH57+AH58+AH59+AH60+AH61+AH62+AH63+AH65</f>
        <v>24</v>
      </c>
      <c r="AI81" s="46">
        <f>AI52+AI53+AI55+AI56+AI57+AI58+AI59+AI60+AI61+AI62+AI63+AI65</f>
        <v>24</v>
      </c>
      <c r="AJ81" s="46">
        <f>AJ52+AJ53+AJ55+AJ56+AJ57+AJ58+AJ59+AJ60+AJ61+AJ62+AJ63+AJ65</f>
        <v>12</v>
      </c>
      <c r="AK81" s="46">
        <f>AK52+AK53+AK55+AK56+AK57+AK58+AK59+AK60+AK61+AK62+AK63+AK65</f>
        <v>0</v>
      </c>
      <c r="AL81" s="46">
        <f>AL52+AL53+AL55+AL56+AL57+AL58+AL59+AL60+AL61+AL62+AL63+AL65</f>
        <v>12</v>
      </c>
      <c r="AM81" s="46">
        <f>AM52+AM53+AM55+AM56+AM57+AM58+AM59+AM60+AM61+AM62+AM63+AM65</f>
        <v>48450</v>
      </c>
      <c r="AN81" s="46">
        <f>AN52+AN53+AN55+AN56+AN57+AN58+AN59+AN60+AN61+AN62+AN63+AN65</f>
        <v>0</v>
      </c>
      <c r="AO81" s="46">
        <f>AO52+AO53+AO55+AO56+AO57+AO58+AO59+AO60+AO61+AO62+AO63+AO65</f>
        <v>4002</v>
      </c>
      <c r="AP81" s="46">
        <f>AP52+AP53+AP55+AP56+AP57+AP58+AP59+AP60+AP61+AP62+AP63+AP65</f>
        <v>3456</v>
      </c>
      <c r="AQ81" s="46">
        <f>AQ52+AQ53+AQ55+AQ56+AQ57+AQ58+AQ59+AQ60+AQ61+AQ62+AQ63+AQ65</f>
        <v>11973</v>
      </c>
      <c r="AR81" s="46">
        <f>AR52+AR53+AR55+AR56+AR57+AR58+AR59+AR60+AR61+AR62+AR63+AR65</f>
        <v>105670</v>
      </c>
      <c r="AS81" s="46">
        <f>AS52+AS53+AS55+AS56+AS57+AS58+AS59+AS60+AS61+AS62+AS63+AS65</f>
        <v>0</v>
      </c>
      <c r="AT81" s="46">
        <f>AT52+AT53+AT55+AT56+AT57+AT58+AT59+AT60+AT61+AT62+AT63+AT65</f>
        <v>105670</v>
      </c>
      <c r="AU81" s="46">
        <f>AU52+AU53+AU55+AU56+AU57+AU58+AU59+AU60+AU61+AU62+AU63+AU65</f>
        <v>39445</v>
      </c>
      <c r="AV81" s="46">
        <f>AV52+AV53+AV55+AV56+AV57+AV58+AV59+AV60+AV61+AV62+AV63+AV65</f>
        <v>2674</v>
      </c>
      <c r="AW81" s="46">
        <f>AW52+AW53+AW55+AW56+AW57+AW58+AW59+AW60+AW61+AW62+AW63+AW65</f>
        <v>14064</v>
      </c>
      <c r="AX81" s="46">
        <f>AX52+AX53+AX55+AX56+AX57+AX58+AX59+AX60+AX61+AX62+AX63+AX65</f>
        <v>14064</v>
      </c>
      <c r="AY81" s="46">
        <f>AY52+AY53+AY55+AY56+AY57+AY58+AY59+AY60+AY61+AY62+AY63+AY65</f>
        <v>762</v>
      </c>
      <c r="AZ81" s="46">
        <f>AZ52+AZ53+AZ55+AZ56+AZ57+AZ58+AZ59+AZ60+AZ61+AZ62+AZ63+AZ65</f>
        <v>823</v>
      </c>
      <c r="BA81" s="46">
        <f>BA52+BA53+BA55+BA56+BA57+BA58+BA59+BA60+BA61+BA62+BA63+BA65</f>
        <v>4635</v>
      </c>
      <c r="BB81" s="46">
        <f>BB52+BB53+BB55+BB56+BB57+BB58+BB59+BB60+BB61+BB62+BB63+BB65</f>
        <v>13188</v>
      </c>
      <c r="BC81" s="46">
        <f>BC52+BC53+BC55+BC56+BC57+BC58+BC59+BC60+BC61+BC62+BC63+BC65</f>
        <v>12</v>
      </c>
      <c r="BD81" s="46">
        <f>BD52+BD53+BD55+BD56+BD57+BD58+BD59+BD60+BD61+BD62+BD63+BD65</f>
        <v>130101</v>
      </c>
      <c r="BE81" s="46">
        <f>BE52+BE53+BE55+BE56+BE57+BE58+BE59+BE60+BE61+BE62+BE63+BE65</f>
        <v>4155</v>
      </c>
      <c r="BF81" s="46">
        <f>BF52+BF53+BF55+BF56+BF57+BF58+BF59+BF60+BF61+BF62+BF63+BF65</f>
        <v>2400</v>
      </c>
      <c r="BG81" s="46">
        <f>BG52+BG53+BG55+BG56+BG57+BG58+BG59+BG60+BG61+BG62+BG63+BG65</f>
        <v>0</v>
      </c>
      <c r="BH81" s="46">
        <f>BH52+BH53+BH55+BH56+BH57+BH58+BH59+BH60+BH61+BH62+BH63+BH65</f>
        <v>0</v>
      </c>
      <c r="BI81" s="46">
        <f>BI52+BI53+BI55+BI56+BI57+BI58+BI59+BI60+BI61+BI62+BI63+BI65</f>
        <v>0</v>
      </c>
      <c r="BJ81" s="46">
        <f>BJ52+BJ53+BJ55+BJ56+BJ57+BJ58+BJ59+BJ60+BJ61+BJ62+BJ63+BJ65</f>
        <v>12</v>
      </c>
      <c r="BK81" s="46">
        <f>BK52+BK53+BK55+BK56+BK57+BK58+BK59+BK60+BK61+BK62+BK63+BK65</f>
        <v>78576.72</v>
      </c>
      <c r="BL81" s="46">
        <f>BL52+BL53+BL55+BL56+BL57+BL58+BL59+BL60+BL61+BL62+BL63+BL65</f>
        <v>57178.72000000001</v>
      </c>
      <c r="BM81" s="46">
        <f>BM52+BM53+BM55+BM56+BM57+BM58+BM59+BM60+BM61+BM62+BM63+BM65</f>
        <v>0</v>
      </c>
      <c r="BN81" s="46">
        <f>BN52+BN53+BN55+BN56+BN57+BN58+BN59+BN60+BN61+BN62+BN63+BN65</f>
        <v>0</v>
      </c>
      <c r="BO81" s="46">
        <f>BO52+BO53+BO55+BO56+BO57+BO58+BO59+BO60+BO61+BO62+BO63+BO65</f>
        <v>0</v>
      </c>
      <c r="BP81" s="46">
        <f>BP52+BP53+BP55+BP56+BP57+BP58+BP59+BP60+BP61+BP62+BP63+BP65</f>
        <v>0</v>
      </c>
      <c r="BQ81" s="46">
        <f>BQ52+BQ53+BQ55+BQ56+BQ57+BQ58+BQ59+BQ60+BQ61+BQ62+BQ63+BQ65</f>
        <v>3</v>
      </c>
      <c r="BR81" s="46">
        <f>BR52+BR53+BR55+BR56+BR57+BR58+BR59+BR60+BR61+BR62+BR63+BR65</f>
        <v>0</v>
      </c>
      <c r="BS81" s="46">
        <f>BS52+BS53+BS55+BS56+BS57+BS58+BS59+BS60+BS61+BS62+BS63+BS65</f>
        <v>0</v>
      </c>
      <c r="BT81" s="46">
        <f>BT52+BT53+BT55+BT56+BT57+BT58+BT59+BT60+BT61+BT62+BT63+BT65</f>
        <v>104</v>
      </c>
      <c r="BU81" s="46">
        <f>BU52+BU53+BU55+BU56+BU57+BU58+BU59+BU60+BU61+BU62+BU63+BU65</f>
        <v>0</v>
      </c>
      <c r="BV81" s="46">
        <f>BV52+BV53+BV55+BV56+BV57+BV58+BV59+BV60+BV61+BV62+BV63+BV65</f>
        <v>2060.4</v>
      </c>
      <c r="BW81" s="46">
        <f>BW52+BW53+BW55+BW56+BW57+BW58+BW59+BW60+BW61+BW62+BW63+BW65</f>
        <v>1213.68</v>
      </c>
      <c r="BX81" s="46">
        <f>BX52+BX53+BX55+BX56+BX57+BX58+BX59+BX60+BX61+BX62+BX63+BX65</f>
        <v>27969.359999999997</v>
      </c>
      <c r="BY81" s="46">
        <f>BY52+BY53+BY55+BY56+BY57+BY58+BY59+BY60+BY61+BY62+BY63+BY65</f>
        <v>2</v>
      </c>
      <c r="BZ81" s="46">
        <f>BZ52+BZ53+BZ55+BZ56+BZ57+BZ58+BZ59+BZ60+BZ61+BZ62+BZ63+BZ65</f>
        <v>0</v>
      </c>
      <c r="CA81" s="46">
        <f>CA52+CA53+CA55+CA56+CA57+CA58+CA59+CA60+CA61+CA62+CA63+CA65</f>
        <v>0</v>
      </c>
      <c r="CB81" s="46">
        <f>CB52+CB53+CB55+CB56+CB57+CB58+CB59+CB60+CB61+CB62+CB63+CB65</f>
        <v>0</v>
      </c>
      <c r="CC81" s="46">
        <f>CC52+CC53+CC55+CC56+CC57+CC58+CC59+CC60+CC61+CC62+CC63+CC65</f>
        <v>0</v>
      </c>
      <c r="CD81" s="46">
        <f>CD52+CD53+CD55+CD56+CD57+CD58+CD59+CD60+CD61+CD62+CD63+CD65</f>
        <v>3015.96</v>
      </c>
      <c r="CE81" s="46">
        <f>CE52+CE53+CE55+CE56+CE57+CE58+CE59+CE60+CE61+CE62+CE63+CE65</f>
        <v>19286.289999999997</v>
      </c>
      <c r="CF81" s="46">
        <f>CF52+CF53+CF55+CF56+CF57+CF58+CF59+CF60+CF61+CF62+CF63+CF65</f>
        <v>56.99</v>
      </c>
      <c r="CG81" s="46">
        <f>CG52+CG53+CG55+CG56+CG57+CG58+CG59+CG60+CG61+CG62+CG63+CG65</f>
        <v>3342.61</v>
      </c>
      <c r="CH81" s="46">
        <f>CH52+CH53+CH55+CH56+CH57+CH58+CH59+CH60+CH61+CH62+CH63+CH65</f>
        <v>7006.15</v>
      </c>
      <c r="CI81" s="46">
        <f>CI52+CI53+CI55+CI56+CI57+CI58+CI59+CI60+CI61+CI62+CI63+CI65</f>
        <v>0</v>
      </c>
      <c r="CJ81" s="46">
        <f>CJ52+CJ53+CJ55+CJ56+CJ57+CJ58+CJ59+CJ60+CJ61+CJ62+CJ63+CJ65</f>
        <v>14065</v>
      </c>
      <c r="CK81" s="46">
        <f>CK52+CK53+CK55+CK56+CK57+CK58+CK59+CK60+CK61+CK62+CK63+CK65</f>
        <v>437.6</v>
      </c>
      <c r="CL81" s="46">
        <f>CL52+CL53+CL55+CL56+CL57+CL58+CL59+CL60+CL61+CL62+CL63+CL65</f>
        <v>1771.5400000000002</v>
      </c>
      <c r="CM81" s="46">
        <f>CM52+CM53+CM55+CM56+CM57+CM58+CM59+CM60+CM61+CM62+CM63+CM65</f>
        <v>48982.14</v>
      </c>
      <c r="CN81" s="46">
        <f>CN52+CN53+CN55+CN56+CN57+CN58+CN59+CN60+CN61+CN62+CN63+CN65</f>
        <v>32504</v>
      </c>
      <c r="CO81" s="46">
        <f>CO52+CO53+CO55+CO56+CO57+CO58+CO59+CO60+CO61+CO62+CO63+CO65</f>
        <v>17983</v>
      </c>
      <c r="CP81" s="46"/>
      <c r="CQ81" s="46">
        <f>CQ52+CQ53+CQ55+CQ56+CQ57+CQ58+CQ59+CQ60+CQ61+CQ62+CQ63+CQ65</f>
        <v>0</v>
      </c>
      <c r="CR81" s="46">
        <f>CR52+CR53+CR55+CR56+CR57+CR58+CR59+CR60+CR61+CR62+CR63+CR65</f>
        <v>0</v>
      </c>
      <c r="CS81" s="46">
        <f>CS52+CS53+CS55+CS56+CS57+CS58+CS59+CS60+CS61+CS62+CS63+CS65</f>
        <v>0</v>
      </c>
      <c r="CT81" s="28"/>
      <c r="CV81" s="46">
        <f>CV52+CV53+CV55+CV56+CV57+CV58+CV59+CV60+CV61+CV62+CV63+CV65</f>
        <v>0</v>
      </c>
      <c r="CW81" s="46">
        <f>CW52+CW53+CW55+CW56+CW57+CW58+CW59+CW60+CW61+CW62+CW63+CW65</f>
        <v>0</v>
      </c>
      <c r="CX81" s="46">
        <f>CX52+CX53+CX55+CX56+CX57+CX58+CX59+CX60+CX61+CX62+CX63+CX65</f>
        <v>12</v>
      </c>
      <c r="CY81" s="46">
        <f>CY52+CY53+CY55+CY56+CY57+CY58+CY59+CY60+CY61+CY62+CY63+CY65</f>
        <v>105670</v>
      </c>
      <c r="CZ81" s="46">
        <f>CZ52+CZ53+CZ55+CZ56+CZ57+CZ58+CZ59+CZ60+CZ61+CZ62+CZ63+CZ65</f>
        <v>12</v>
      </c>
      <c r="DA81" s="46">
        <f>DA52+DA53+DA55+DA56+DA57+DA58+DA59+DA60+DA61+DA62+DA63+DA65</f>
        <v>105670</v>
      </c>
    </row>
    <row r="82" spans="5:98" ht="12.75">
      <c r="E82" s="26"/>
      <c r="F82" s="26"/>
      <c r="H82" s="27"/>
      <c r="I82" s="27"/>
      <c r="S82" s="28"/>
      <c r="T82" s="28"/>
      <c r="V82" s="29"/>
      <c r="W82" s="29"/>
      <c r="AB82" s="28"/>
      <c r="CL82" s="1"/>
      <c r="CQ82" s="28"/>
      <c r="CR82" s="28"/>
      <c r="CS82" s="28"/>
      <c r="CT82" s="28"/>
    </row>
    <row r="83" spans="2:113" s="50" customFormat="1" ht="12.75">
      <c r="B83" s="147"/>
      <c r="C83" s="149" t="s">
        <v>173</v>
      </c>
      <c r="D83" s="149"/>
      <c r="E83" s="150"/>
      <c r="F83" s="150"/>
      <c r="G83" s="58">
        <f>G69+G79</f>
        <v>60</v>
      </c>
      <c r="H83" s="151"/>
      <c r="I83" s="151"/>
      <c r="J83" s="58">
        <f>J69+J79</f>
        <v>2039704</v>
      </c>
      <c r="K83" s="58">
        <f>K69+K79</f>
        <v>99589</v>
      </c>
      <c r="L83" s="58"/>
      <c r="M83" s="58">
        <f>M69+M79</f>
        <v>77212</v>
      </c>
      <c r="N83" s="58">
        <f>N69+N79</f>
        <v>35172</v>
      </c>
      <c r="O83" s="58">
        <f>O69+O79</f>
        <v>11051</v>
      </c>
      <c r="P83" s="58">
        <f>P69+P79</f>
        <v>17587</v>
      </c>
      <c r="Q83" s="58">
        <f>Q69+Q79</f>
        <v>10530</v>
      </c>
      <c r="R83" s="58">
        <f>R69+R79</f>
        <v>18454</v>
      </c>
      <c r="S83" s="58">
        <f>S69+S79</f>
        <v>409329.5299999999</v>
      </c>
      <c r="T83" s="58">
        <f>T69+T79</f>
        <v>264331.74000000005</v>
      </c>
      <c r="U83" s="58">
        <f>U69+U79</f>
        <v>6554</v>
      </c>
      <c r="V83" s="58">
        <f>V69+V79</f>
        <v>297385.18</v>
      </c>
      <c r="W83" s="58">
        <f>W69+W79</f>
        <v>187375.09</v>
      </c>
      <c r="X83" s="58">
        <f>X69+X79</f>
        <v>4497</v>
      </c>
      <c r="Y83" s="58">
        <f>Y69+Y79</f>
        <v>111944.34999999999</v>
      </c>
      <c r="Z83" s="58">
        <f>Z69+Z79</f>
        <v>76956.65</v>
      </c>
      <c r="AA83" s="58">
        <f>AA69+AA79</f>
        <v>41017.990000000005</v>
      </c>
      <c r="AB83" s="58">
        <f>AB69+AB79</f>
        <v>31476.179999999993</v>
      </c>
      <c r="AC83" s="58">
        <f>AC69+AC79</f>
        <v>0</v>
      </c>
      <c r="AD83" s="58">
        <f>AD69+AD79</f>
        <v>31476.179999999993</v>
      </c>
      <c r="AE83" s="58">
        <f>AE69+AE79</f>
        <v>9541.81</v>
      </c>
      <c r="AF83" s="58">
        <f>AF69+AF79</f>
        <v>450347.52</v>
      </c>
      <c r="AG83" s="58">
        <f>AG69+AG79</f>
        <v>0</v>
      </c>
      <c r="AH83" s="58">
        <f>AH69+AH79</f>
        <v>108</v>
      </c>
      <c r="AI83" s="58">
        <f>AI69+AI79</f>
        <v>218</v>
      </c>
      <c r="AJ83" s="58">
        <f>AJ69+AJ79</f>
        <v>89</v>
      </c>
      <c r="AK83" s="58">
        <f>AK69+AK79</f>
        <v>0</v>
      </c>
      <c r="AL83" s="58">
        <f>AL69+AL79</f>
        <v>120</v>
      </c>
      <c r="AM83" s="58">
        <f>AM69+AM79</f>
        <v>329070</v>
      </c>
      <c r="AN83" s="58">
        <f>AN69+AN79</f>
        <v>25765</v>
      </c>
      <c r="AO83" s="58">
        <f>AO69+AO79</f>
        <v>27252</v>
      </c>
      <c r="AP83" s="58">
        <f>AP69+AP79</f>
        <v>21828</v>
      </c>
      <c r="AQ83" s="58">
        <f>AQ69+AQ79</f>
        <v>26436</v>
      </c>
      <c r="AR83" s="58">
        <f>AR69+AR79</f>
        <v>519174</v>
      </c>
      <c r="AS83" s="58">
        <f>AS69+AS79</f>
        <v>112316</v>
      </c>
      <c r="AT83" s="58">
        <f>AT69+AT79</f>
        <v>406858</v>
      </c>
      <c r="AU83" s="58">
        <f>AU69+AU79</f>
        <v>117220</v>
      </c>
      <c r="AV83" s="58">
        <f>AV69+AV79</f>
        <v>13534</v>
      </c>
      <c r="AW83" s="58">
        <f>AW69+AW79</f>
        <v>96112</v>
      </c>
      <c r="AX83" s="58">
        <f>AX69+AX79</f>
        <v>96112</v>
      </c>
      <c r="AY83" s="58">
        <f>AY69+AY79</f>
        <v>2609</v>
      </c>
      <c r="AZ83" s="58">
        <f>AZ69+AZ79</f>
        <v>1682</v>
      </c>
      <c r="BA83" s="58">
        <f>BA69+BA79</f>
        <v>22679</v>
      </c>
      <c r="BB83" s="58">
        <f>BB69+BB79</f>
        <v>62379</v>
      </c>
      <c r="BC83" s="58">
        <f>BC69+BC79</f>
        <v>26</v>
      </c>
      <c r="BD83" s="58">
        <f>BD69+BD79</f>
        <v>664365</v>
      </c>
      <c r="BE83" s="58">
        <f>BE69+BE79</f>
        <v>126019</v>
      </c>
      <c r="BF83" s="58">
        <f>BF69+BF79</f>
        <v>8620</v>
      </c>
      <c r="BG83" s="58">
        <f>BG69+BG79</f>
        <v>25</v>
      </c>
      <c r="BH83" s="58">
        <f>BH69+BH79</f>
        <v>147173.19999999998</v>
      </c>
      <c r="BI83" s="58">
        <f>BI69+BI79</f>
        <v>88843.15000000001</v>
      </c>
      <c r="BJ83" s="58">
        <f>BJ69+BJ79</f>
        <v>32</v>
      </c>
      <c r="BK83" s="58">
        <f>BK69+BK79</f>
        <v>214488.62999999998</v>
      </c>
      <c r="BL83" s="58">
        <f>BL69+BL79</f>
        <v>146255.49</v>
      </c>
      <c r="BM83" s="58">
        <f>BM69+BM79</f>
        <v>3</v>
      </c>
      <c r="BN83" s="58">
        <f>BN69+BN79</f>
        <v>47667.700000000004</v>
      </c>
      <c r="BO83" s="58">
        <f>BO69+BO79</f>
        <v>29233.1</v>
      </c>
      <c r="BP83" s="58">
        <f>BP69+BP79</f>
        <v>0</v>
      </c>
      <c r="BQ83" s="58">
        <f>BQ69+BQ79</f>
        <v>134</v>
      </c>
      <c r="BR83" s="58">
        <f>BR69+BR79</f>
        <v>48682</v>
      </c>
      <c r="BS83" s="58">
        <f>BS69+BS79</f>
        <v>153080</v>
      </c>
      <c r="BT83" s="58">
        <f>BT69+BT79</f>
        <v>104</v>
      </c>
      <c r="BU83" s="58">
        <f>BU69+BU79</f>
        <v>147822</v>
      </c>
      <c r="BV83" s="58">
        <f>BV69+BV79</f>
        <v>20202.76</v>
      </c>
      <c r="BW83" s="58">
        <f>BW69+BW79</f>
        <v>9810.87</v>
      </c>
      <c r="BX83" s="58">
        <f>BX69+BX79</f>
        <v>63688.35</v>
      </c>
      <c r="BY83" s="58">
        <f>BY69+BY79</f>
        <v>118</v>
      </c>
      <c r="BZ83" s="58">
        <f>BZ69+BZ79</f>
        <v>5</v>
      </c>
      <c r="CA83" s="58">
        <f>CA69+CA79</f>
        <v>5</v>
      </c>
      <c r="CB83" s="58">
        <f>CB69+CB79</f>
        <v>5</v>
      </c>
      <c r="CC83" s="58">
        <f>CC69+CC79</f>
        <v>43</v>
      </c>
      <c r="CD83" s="58">
        <f>CD69+CD79</f>
        <v>31125.829999999998</v>
      </c>
      <c r="CE83" s="58">
        <f>CE69+CE79</f>
        <v>47338.81</v>
      </c>
      <c r="CF83" s="58">
        <f>CF69+CF79</f>
        <v>331.57000000000005</v>
      </c>
      <c r="CG83" s="58">
        <f>CG69+CG79</f>
        <v>6300.57</v>
      </c>
      <c r="CH83" s="58">
        <f>CH69+CH79</f>
        <v>85314.76</v>
      </c>
      <c r="CI83" s="58">
        <f>CI69+CI79</f>
        <v>0</v>
      </c>
      <c r="CJ83" s="58">
        <f>CJ69+CJ79</f>
        <v>95878.13</v>
      </c>
      <c r="CK83" s="58">
        <f>CK69+CK79</f>
        <v>2517.82</v>
      </c>
      <c r="CL83" s="58">
        <f>CL69+CL79</f>
        <v>3289.04</v>
      </c>
      <c r="CM83" s="58">
        <f>CM69+CM79</f>
        <v>272096.52999999997</v>
      </c>
      <c r="CN83" s="58">
        <f>CN69+CN79</f>
        <v>234915</v>
      </c>
      <c r="CO83" s="58">
        <f>CO69+CO79</f>
        <v>135326</v>
      </c>
      <c r="CP83" s="149"/>
      <c r="CQ83" s="58">
        <f>CQ69+CQ79</f>
        <v>0</v>
      </c>
      <c r="CR83" s="58">
        <f>CR69+CR79</f>
        <v>0</v>
      </c>
      <c r="CS83" s="58">
        <f>CS69+CS79</f>
        <v>0</v>
      </c>
      <c r="CT83" s="152"/>
      <c r="CU83" s="149"/>
      <c r="CV83" s="58">
        <f>CV69+CV79</f>
        <v>6</v>
      </c>
      <c r="CW83" s="58">
        <f>CW69+CW79</f>
        <v>112316</v>
      </c>
      <c r="CX83" s="58">
        <f>CX69+CX79</f>
        <v>54</v>
      </c>
      <c r="CY83" s="58">
        <f>CY69+CY79</f>
        <v>406858</v>
      </c>
      <c r="CZ83" s="58">
        <f>CZ69+CZ79</f>
        <v>60</v>
      </c>
      <c r="DA83" s="58">
        <f>DA69+DA79</f>
        <v>519174</v>
      </c>
      <c r="DB83" s="149"/>
      <c r="DC83" s="149"/>
      <c r="DD83" s="149"/>
      <c r="DE83" s="149"/>
      <c r="DF83" s="149"/>
      <c r="DG83" s="149"/>
      <c r="DH83" s="149"/>
      <c r="DI83" s="149"/>
    </row>
    <row r="84" spans="5:98" ht="12.75">
      <c r="E84" s="26"/>
      <c r="F84" s="26"/>
      <c r="H84" s="27"/>
      <c r="I84" s="27"/>
      <c r="S84" s="28"/>
      <c r="T84" s="28"/>
      <c r="V84" s="29"/>
      <c r="W84" s="29"/>
      <c r="AB84" s="28"/>
      <c r="CQ84" s="28"/>
      <c r="CR84" s="28"/>
      <c r="CS84" s="28"/>
      <c r="CT84" s="28"/>
    </row>
    <row r="85" spans="5:98" ht="12.75">
      <c r="E85" s="26"/>
      <c r="F85" s="26"/>
      <c r="H85" s="27"/>
      <c r="I85" s="27"/>
      <c r="S85" s="28"/>
      <c r="T85" s="28"/>
      <c r="V85" s="29"/>
      <c r="W85" s="29"/>
      <c r="AB85" s="28"/>
      <c r="CQ85" s="28"/>
      <c r="CR85" s="28"/>
      <c r="CS85" s="28"/>
      <c r="CT85" s="28"/>
    </row>
    <row r="86" spans="5:98" ht="12.75">
      <c r="E86" s="26"/>
      <c r="F86" s="26"/>
      <c r="H86" s="27"/>
      <c r="I86" s="27"/>
      <c r="S86" s="28"/>
      <c r="T86" s="28"/>
      <c r="V86" s="29"/>
      <c r="W86" s="29"/>
      <c r="AB86" s="28"/>
      <c r="CQ86" s="28"/>
      <c r="CR86" s="28"/>
      <c r="CS86" s="28"/>
      <c r="CT86" s="28"/>
    </row>
    <row r="87" spans="5:98" ht="12.75">
      <c r="E87" s="26"/>
      <c r="F87" s="26"/>
      <c r="H87" s="27"/>
      <c r="I87" s="27"/>
      <c r="S87" s="28"/>
      <c r="T87" s="28"/>
      <c r="V87" s="29"/>
      <c r="W87" s="29"/>
      <c r="AB87" s="28"/>
      <c r="CQ87" s="28"/>
      <c r="CR87" s="28"/>
      <c r="CS87" s="28"/>
      <c r="CT87" s="28"/>
    </row>
    <row r="88" spans="5:98" ht="12.75">
      <c r="E88" s="26"/>
      <c r="F88" s="26"/>
      <c r="H88" s="27"/>
      <c r="I88" s="27"/>
      <c r="S88" s="28"/>
      <c r="T88" s="28"/>
      <c r="V88" s="29"/>
      <c r="W88" s="29"/>
      <c r="AB88" s="28"/>
      <c r="CQ88" s="28"/>
      <c r="CR88" s="28"/>
      <c r="CS88" s="28"/>
      <c r="CT88" s="28"/>
    </row>
    <row r="89" spans="5:98" ht="12.75">
      <c r="E89" s="26"/>
      <c r="F89" s="26"/>
      <c r="H89" s="27"/>
      <c r="I89" s="27"/>
      <c r="S89" s="28"/>
      <c r="T89" s="28"/>
      <c r="V89" s="29"/>
      <c r="W89" s="29"/>
      <c r="AB89" s="28"/>
      <c r="CQ89" s="28"/>
      <c r="CR89" s="28"/>
      <c r="CS89" s="28"/>
      <c r="CT89" s="28"/>
    </row>
    <row r="90" spans="5:98" ht="12.75">
      <c r="E90" s="26"/>
      <c r="F90" s="26"/>
      <c r="H90" s="27"/>
      <c r="I90" s="27"/>
      <c r="S90" s="28"/>
      <c r="T90" s="28"/>
      <c r="V90" s="29"/>
      <c r="W90" s="29"/>
      <c r="AB90" s="28"/>
      <c r="CQ90" s="28"/>
      <c r="CR90" s="28"/>
      <c r="CS90" s="28"/>
      <c r="CT90" s="28"/>
    </row>
    <row r="91" spans="5:98" ht="12.75">
      <c r="E91" s="26"/>
      <c r="F91" s="26"/>
      <c r="H91" s="27"/>
      <c r="I91" s="27"/>
      <c r="S91" s="28"/>
      <c r="T91" s="28"/>
      <c r="V91" s="29"/>
      <c r="W91" s="29"/>
      <c r="AB91" s="28"/>
      <c r="CQ91" s="28"/>
      <c r="CR91" s="28"/>
      <c r="CS91" s="28"/>
      <c r="CT91" s="28"/>
    </row>
    <row r="92" spans="5:98" ht="12.75">
      <c r="E92" s="26"/>
      <c r="F92" s="26"/>
      <c r="H92" s="27"/>
      <c r="I92" s="27"/>
      <c r="S92" s="28"/>
      <c r="T92" s="28"/>
      <c r="V92" s="29"/>
      <c r="W92" s="29"/>
      <c r="AB92" s="28"/>
      <c r="CQ92" s="28"/>
      <c r="CR92" s="28"/>
      <c r="CS92" s="28"/>
      <c r="CT92" s="28"/>
    </row>
    <row r="93" spans="5:98" ht="12.75">
      <c r="E93" s="26"/>
      <c r="F93" s="26"/>
      <c r="H93" s="27"/>
      <c r="I93" s="27"/>
      <c r="S93" s="28"/>
      <c r="T93" s="28"/>
      <c r="V93" s="29"/>
      <c r="W93" s="29"/>
      <c r="AB93" s="28"/>
      <c r="CQ93" s="28"/>
      <c r="CR93" s="28"/>
      <c r="CS93" s="28"/>
      <c r="CT93" s="28"/>
    </row>
    <row r="94" spans="5:98" ht="12.75">
      <c r="E94" s="26"/>
      <c r="F94" s="26"/>
      <c r="H94" s="27"/>
      <c r="I94" s="27"/>
      <c r="S94" s="28"/>
      <c r="T94" s="28"/>
      <c r="V94" s="29"/>
      <c r="W94" s="29"/>
      <c r="AB94" s="28"/>
      <c r="CQ94" s="28"/>
      <c r="CR94" s="28"/>
      <c r="CS94" s="28"/>
      <c r="CT94" s="28"/>
    </row>
    <row r="95" spans="5:98" ht="12.75">
      <c r="E95" s="26"/>
      <c r="F95" s="26"/>
      <c r="H95" s="27"/>
      <c r="I95" s="27"/>
      <c r="S95" s="28"/>
      <c r="T95" s="28"/>
      <c r="V95" s="29"/>
      <c r="W95" s="29"/>
      <c r="AB95" s="28"/>
      <c r="CQ95" s="28"/>
      <c r="CR95" s="28"/>
      <c r="CS95" s="28"/>
      <c r="CT95" s="28"/>
    </row>
    <row r="96" spans="5:98" ht="12.75">
      <c r="E96" s="26"/>
      <c r="F96" s="26"/>
      <c r="H96" s="27"/>
      <c r="I96" s="27"/>
      <c r="S96" s="28"/>
      <c r="T96" s="28"/>
      <c r="V96" s="29"/>
      <c r="W96" s="29"/>
      <c r="AB96" s="28"/>
      <c r="CQ96" s="28"/>
      <c r="CR96" s="28"/>
      <c r="CS96" s="28"/>
      <c r="CT96" s="28"/>
    </row>
    <row r="97" spans="5:98" ht="12.75">
      <c r="E97" s="26"/>
      <c r="F97" s="26"/>
      <c r="H97" s="27"/>
      <c r="I97" s="27"/>
      <c r="S97" s="28"/>
      <c r="T97" s="28"/>
      <c r="V97" s="29"/>
      <c r="W97" s="29"/>
      <c r="AB97" s="28"/>
      <c r="CQ97" s="28"/>
      <c r="CR97" s="28"/>
      <c r="CS97" s="28"/>
      <c r="CT97" s="28"/>
    </row>
    <row r="98" spans="5:98" ht="12.75">
      <c r="E98" s="26"/>
      <c r="F98" s="26"/>
      <c r="H98" s="27"/>
      <c r="I98" s="27"/>
      <c r="S98" s="28"/>
      <c r="T98" s="28"/>
      <c r="V98" s="29"/>
      <c r="W98" s="29"/>
      <c r="AB98" s="28"/>
      <c r="CQ98" s="28"/>
      <c r="CR98" s="28"/>
      <c r="CS98" s="28"/>
      <c r="CT98" s="28"/>
    </row>
    <row r="99" spans="5:98" ht="12.75">
      <c r="E99" s="26"/>
      <c r="F99" s="26"/>
      <c r="H99" s="27"/>
      <c r="I99" s="27"/>
      <c r="S99" s="28"/>
      <c r="T99" s="28"/>
      <c r="V99" s="29"/>
      <c r="W99" s="29"/>
      <c r="AB99" s="28"/>
      <c r="CQ99" s="28"/>
      <c r="CR99" s="28"/>
      <c r="CS99" s="28"/>
      <c r="CT99" s="28"/>
    </row>
    <row r="100" spans="5:98" ht="12.75">
      <c r="E100" s="26"/>
      <c r="F100" s="26"/>
      <c r="H100" s="27"/>
      <c r="I100" s="27"/>
      <c r="S100" s="28"/>
      <c r="T100" s="28"/>
      <c r="V100" s="29"/>
      <c r="W100" s="29"/>
      <c r="AB100" s="28"/>
      <c r="CQ100" s="28"/>
      <c r="CR100" s="28"/>
      <c r="CS100" s="28"/>
      <c r="CT100" s="28"/>
    </row>
    <row r="101" spans="5:98" ht="12.75">
      <c r="E101" s="26"/>
      <c r="F101" s="26"/>
      <c r="H101" s="27"/>
      <c r="I101" s="27"/>
      <c r="S101" s="28"/>
      <c r="T101" s="28"/>
      <c r="V101" s="29"/>
      <c r="W101" s="29"/>
      <c r="AB101" s="28"/>
      <c r="CQ101" s="28"/>
      <c r="CR101" s="28"/>
      <c r="CS101" s="28"/>
      <c r="CT101" s="28"/>
    </row>
    <row r="102" spans="5:98" ht="12.75">
      <c r="E102" s="26"/>
      <c r="F102" s="26"/>
      <c r="H102" s="27"/>
      <c r="I102" s="27"/>
      <c r="V102" s="29"/>
      <c r="W102" s="29"/>
      <c r="CQ102" s="28"/>
      <c r="CR102" s="28"/>
      <c r="CS102" s="28"/>
      <c r="CT102" s="28"/>
    </row>
    <row r="103" spans="5:98" ht="12.75">
      <c r="E103" s="26"/>
      <c r="F103" s="26"/>
      <c r="H103" s="27"/>
      <c r="I103" s="27"/>
      <c r="S103" s="28"/>
      <c r="T103" s="28"/>
      <c r="V103" s="29"/>
      <c r="W103" s="29"/>
      <c r="AB103" s="28"/>
      <c r="CQ103" s="28"/>
      <c r="CR103" s="28"/>
      <c r="CS103" s="28"/>
      <c r="CT103" s="28"/>
    </row>
    <row r="104" spans="5:98" ht="12.75">
      <c r="E104" s="26"/>
      <c r="F104" s="26"/>
      <c r="H104" s="27"/>
      <c r="I104" s="27"/>
      <c r="S104" s="28"/>
      <c r="T104" s="28"/>
      <c r="V104" s="29"/>
      <c r="W104" s="29"/>
      <c r="AB104" s="28"/>
      <c r="CQ104" s="28"/>
      <c r="CR104" s="28"/>
      <c r="CS104" s="28"/>
      <c r="CT104" s="28"/>
    </row>
    <row r="105" spans="5:98" ht="12.75">
      <c r="E105" s="26"/>
      <c r="F105" s="26"/>
      <c r="H105" s="27"/>
      <c r="I105" s="27"/>
      <c r="S105" s="28"/>
      <c r="T105" s="28"/>
      <c r="V105" s="29"/>
      <c r="W105" s="29"/>
      <c r="AB105" s="28"/>
      <c r="CQ105" s="28"/>
      <c r="CR105" s="28"/>
      <c r="CS105" s="28"/>
      <c r="CT105" s="28"/>
    </row>
    <row r="106" spans="5:98" ht="12.75">
      <c r="E106" s="26"/>
      <c r="F106" s="26"/>
      <c r="H106" s="27"/>
      <c r="I106" s="27"/>
      <c r="S106" s="28"/>
      <c r="T106" s="28"/>
      <c r="V106" s="29"/>
      <c r="W106" s="29"/>
      <c r="AB106" s="28"/>
      <c r="CQ106" s="28"/>
      <c r="CR106" s="28"/>
      <c r="CS106" s="28"/>
      <c r="CT106" s="28"/>
    </row>
    <row r="107" spans="5:98" ht="12.75">
      <c r="E107" s="26"/>
      <c r="F107" s="26"/>
      <c r="H107" s="27"/>
      <c r="I107" s="27"/>
      <c r="S107" s="28"/>
      <c r="T107" s="28"/>
      <c r="V107" s="29"/>
      <c r="W107" s="29"/>
      <c r="AB107" s="28"/>
      <c r="CQ107" s="28"/>
      <c r="CR107" s="28"/>
      <c r="CS107" s="28"/>
      <c r="CT107" s="28"/>
    </row>
    <row r="108" spans="5:98" ht="12.75">
      <c r="E108" s="26"/>
      <c r="F108" s="26"/>
      <c r="H108" s="27"/>
      <c r="I108" s="27"/>
      <c r="S108" s="28"/>
      <c r="T108" s="28"/>
      <c r="V108" s="29"/>
      <c r="W108" s="29"/>
      <c r="AB108" s="28"/>
      <c r="CQ108" s="28"/>
      <c r="CR108" s="28"/>
      <c r="CS108" s="28"/>
      <c r="CT108" s="28"/>
    </row>
    <row r="109" spans="5:98" ht="12.75">
      <c r="E109" s="26"/>
      <c r="F109" s="26"/>
      <c r="H109" s="27"/>
      <c r="I109" s="27"/>
      <c r="S109" s="28"/>
      <c r="T109" s="28"/>
      <c r="V109" s="29"/>
      <c r="W109" s="29"/>
      <c r="AB109" s="28"/>
      <c r="CQ109" s="28"/>
      <c r="CR109" s="28"/>
      <c r="CS109" s="28"/>
      <c r="CT109" s="28"/>
    </row>
    <row r="110" spans="5:98" ht="12.75">
      <c r="E110" s="26"/>
      <c r="F110" s="26"/>
      <c r="H110" s="27"/>
      <c r="I110" s="27"/>
      <c r="S110" s="28"/>
      <c r="T110" s="28"/>
      <c r="V110" s="29"/>
      <c r="W110" s="29"/>
      <c r="AB110" s="28"/>
      <c r="CQ110" s="28"/>
      <c r="CR110" s="28"/>
      <c r="CS110" s="28"/>
      <c r="CT110" s="28"/>
    </row>
    <row r="111" spans="5:98" ht="12.75">
      <c r="E111" s="26"/>
      <c r="F111" s="26"/>
      <c r="H111" s="27"/>
      <c r="I111" s="27"/>
      <c r="S111" s="28"/>
      <c r="T111" s="28"/>
      <c r="V111" s="29"/>
      <c r="W111" s="29"/>
      <c r="AB111" s="28"/>
      <c r="CQ111" s="28"/>
      <c r="CR111" s="28"/>
      <c r="CS111" s="28"/>
      <c r="CT111" s="28"/>
    </row>
    <row r="112" spans="5:98" ht="12.75">
      <c r="E112" s="26"/>
      <c r="F112" s="26"/>
      <c r="H112" s="27"/>
      <c r="I112" s="27"/>
      <c r="S112" s="28"/>
      <c r="T112" s="28"/>
      <c r="V112" s="29"/>
      <c r="W112" s="29"/>
      <c r="AB112" s="28"/>
      <c r="CQ112" s="28"/>
      <c r="CR112" s="28"/>
      <c r="CS112" s="28"/>
      <c r="CT112" s="28"/>
    </row>
    <row r="113" spans="5:98" ht="12.75">
      <c r="E113" s="26"/>
      <c r="F113" s="26"/>
      <c r="H113" s="27"/>
      <c r="I113" s="27"/>
      <c r="S113" s="28"/>
      <c r="T113" s="28"/>
      <c r="V113" s="29"/>
      <c r="W113" s="29"/>
      <c r="AB113" s="28"/>
      <c r="CQ113" s="28"/>
      <c r="CR113" s="28"/>
      <c r="CS113" s="28"/>
      <c r="CT113" s="28"/>
    </row>
    <row r="114" spans="5:98" ht="12.75">
      <c r="E114" s="26"/>
      <c r="F114" s="26"/>
      <c r="H114" s="27"/>
      <c r="I114" s="27"/>
      <c r="S114" s="28"/>
      <c r="T114" s="28"/>
      <c r="V114" s="29"/>
      <c r="W114" s="29"/>
      <c r="AB114" s="28"/>
      <c r="CQ114" s="28"/>
      <c r="CR114" s="28"/>
      <c r="CS114" s="28"/>
      <c r="CT114" s="28"/>
    </row>
    <row r="115" spans="5:98" ht="12.75">
      <c r="E115" s="26"/>
      <c r="F115" s="26"/>
      <c r="H115" s="27"/>
      <c r="I115" s="27"/>
      <c r="S115" s="28"/>
      <c r="T115" s="28"/>
      <c r="V115" s="29"/>
      <c r="W115" s="29"/>
      <c r="AB115" s="28"/>
      <c r="CQ115" s="28"/>
      <c r="CR115" s="28"/>
      <c r="CS115" s="28"/>
      <c r="CT115" s="28"/>
    </row>
    <row r="116" spans="5:98" ht="12.75">
      <c r="E116" s="26"/>
      <c r="F116" s="26"/>
      <c r="H116" s="27"/>
      <c r="I116" s="27"/>
      <c r="S116" s="28"/>
      <c r="T116" s="28"/>
      <c r="V116" s="29"/>
      <c r="W116" s="29"/>
      <c r="AB116" s="28"/>
      <c r="CQ116" s="28"/>
      <c r="CR116" s="28"/>
      <c r="CS116" s="28"/>
      <c r="CT116" s="28"/>
    </row>
    <row r="117" spans="5:98" ht="12.75">
      <c r="E117" s="26"/>
      <c r="F117" s="26"/>
      <c r="H117" s="27"/>
      <c r="I117" s="27"/>
      <c r="S117" s="28"/>
      <c r="T117" s="28"/>
      <c r="V117" s="29"/>
      <c r="W117" s="29"/>
      <c r="AB117" s="28"/>
      <c r="CQ117" s="28"/>
      <c r="CR117" s="28"/>
      <c r="CS117" s="28"/>
      <c r="CT117" s="28"/>
    </row>
    <row r="118" spans="5:98" ht="12.75">
      <c r="E118" s="26"/>
      <c r="F118" s="26"/>
      <c r="H118" s="27"/>
      <c r="I118" s="27"/>
      <c r="S118" s="28"/>
      <c r="T118" s="28"/>
      <c r="V118" s="29"/>
      <c r="W118" s="29"/>
      <c r="AB118" s="28"/>
      <c r="CQ118" s="28"/>
      <c r="CR118" s="28"/>
      <c r="CS118" s="28"/>
      <c r="CT118" s="28"/>
    </row>
    <row r="119" spans="5:98" ht="12.75">
      <c r="E119" s="26"/>
      <c r="F119" s="26"/>
      <c r="H119" s="27"/>
      <c r="I119" s="27"/>
      <c r="S119" s="28"/>
      <c r="T119" s="28"/>
      <c r="V119" s="29"/>
      <c r="W119" s="29"/>
      <c r="AB119" s="28"/>
      <c r="CQ119" s="28"/>
      <c r="CR119" s="28"/>
      <c r="CS119" s="28"/>
      <c r="CT119" s="28"/>
    </row>
    <row r="120" spans="5:98" ht="12.75">
      <c r="E120" s="26"/>
      <c r="F120" s="26"/>
      <c r="H120" s="27"/>
      <c r="I120" s="27"/>
      <c r="S120" s="28"/>
      <c r="T120" s="28"/>
      <c r="V120" s="29"/>
      <c r="W120" s="29"/>
      <c r="AB120" s="28"/>
      <c r="CQ120" s="28"/>
      <c r="CR120" s="28"/>
      <c r="CS120" s="28"/>
      <c r="CT120" s="28"/>
    </row>
    <row r="121" spans="5:98" ht="12.75">
      <c r="E121" s="26"/>
      <c r="F121" s="26"/>
      <c r="H121" s="27"/>
      <c r="I121" s="27"/>
      <c r="S121" s="28"/>
      <c r="T121" s="28"/>
      <c r="V121" s="29"/>
      <c r="W121" s="29"/>
      <c r="AB121" s="28"/>
      <c r="CQ121" s="28"/>
      <c r="CR121" s="28"/>
      <c r="CS121" s="28"/>
      <c r="CT121" s="28"/>
    </row>
    <row r="122" spans="5:98" ht="12.75">
      <c r="E122" s="26"/>
      <c r="F122" s="26"/>
      <c r="H122" s="27"/>
      <c r="I122" s="27"/>
      <c r="S122" s="28"/>
      <c r="T122" s="28"/>
      <c r="V122" s="29"/>
      <c r="W122" s="29"/>
      <c r="AB122" s="28"/>
      <c r="CQ122" s="28"/>
      <c r="CR122" s="28"/>
      <c r="CS122" s="28"/>
      <c r="CT122" s="28"/>
    </row>
    <row r="123" spans="5:98" ht="12.75">
      <c r="E123" s="26"/>
      <c r="F123" s="26"/>
      <c r="H123" s="27"/>
      <c r="I123" s="27"/>
      <c r="S123" s="28"/>
      <c r="T123" s="28"/>
      <c r="V123" s="29"/>
      <c r="W123" s="29"/>
      <c r="AB123" s="28"/>
      <c r="CQ123" s="28"/>
      <c r="CR123" s="28"/>
      <c r="CS123" s="28"/>
      <c r="CT123" s="28"/>
    </row>
    <row r="124" spans="5:98" ht="12.75">
      <c r="E124" s="26"/>
      <c r="F124" s="26"/>
      <c r="H124" s="27"/>
      <c r="I124" s="27"/>
      <c r="S124" s="28"/>
      <c r="T124" s="28"/>
      <c r="V124" s="29"/>
      <c r="W124" s="29"/>
      <c r="AB124" s="28"/>
      <c r="CQ124" s="28"/>
      <c r="CR124" s="28"/>
      <c r="CS124" s="28"/>
      <c r="CT124" s="28"/>
    </row>
    <row r="125" spans="5:97" ht="12.75">
      <c r="E125" s="26"/>
      <c r="F125" s="26"/>
      <c r="H125" s="27"/>
      <c r="I125" s="27"/>
      <c r="S125" s="28"/>
      <c r="T125" s="28"/>
      <c r="V125" s="29"/>
      <c r="W125" s="29"/>
      <c r="AB125" s="28"/>
      <c r="CQ125" s="28"/>
      <c r="CR125" s="28"/>
      <c r="CS125" s="28"/>
    </row>
    <row r="126" spans="5:98" ht="12.75">
      <c r="E126" s="26"/>
      <c r="F126" s="26"/>
      <c r="H126" s="27"/>
      <c r="I126" s="27"/>
      <c r="S126" s="28"/>
      <c r="T126" s="28"/>
      <c r="V126" s="29"/>
      <c r="W126" s="29"/>
      <c r="AB126" s="28"/>
      <c r="CQ126" s="28"/>
      <c r="CR126" s="28"/>
      <c r="CS126" s="28"/>
      <c r="CT126" s="28"/>
    </row>
    <row r="127" spans="5:98" ht="12.75">
      <c r="E127" s="26"/>
      <c r="F127" s="26"/>
      <c r="H127" s="27"/>
      <c r="I127" s="27"/>
      <c r="S127" s="28"/>
      <c r="T127" s="28"/>
      <c r="V127" s="29"/>
      <c r="W127" s="29"/>
      <c r="AB127" s="28"/>
      <c r="CQ127" s="28"/>
      <c r="CR127" s="28"/>
      <c r="CS127" s="28"/>
      <c r="CT127" s="28"/>
    </row>
    <row r="128" spans="5:98" ht="12.75">
      <c r="E128" s="26"/>
      <c r="F128" s="26"/>
      <c r="H128" s="27"/>
      <c r="I128" s="27"/>
      <c r="S128" s="28"/>
      <c r="T128" s="28"/>
      <c r="V128" s="29"/>
      <c r="W128" s="29"/>
      <c r="AB128" s="28"/>
      <c r="CQ128" s="28"/>
      <c r="CR128" s="28"/>
      <c r="CS128" s="28"/>
      <c r="CT128" s="28"/>
    </row>
    <row r="129" spans="5:98" ht="12.75">
      <c r="E129" s="26"/>
      <c r="F129" s="26"/>
      <c r="H129" s="27"/>
      <c r="I129" s="27"/>
      <c r="S129" s="28"/>
      <c r="T129" s="28"/>
      <c r="V129" s="29"/>
      <c r="W129" s="29"/>
      <c r="AB129" s="28"/>
      <c r="CQ129" s="28"/>
      <c r="CR129" s="28"/>
      <c r="CS129" s="28"/>
      <c r="CT129" s="28"/>
    </row>
    <row r="130" spans="5:98" ht="12.75">
      <c r="E130" s="26"/>
      <c r="F130" s="26"/>
      <c r="H130" s="27"/>
      <c r="I130" s="27"/>
      <c r="S130" s="28"/>
      <c r="T130" s="28"/>
      <c r="V130" s="29"/>
      <c r="W130" s="29"/>
      <c r="AB130" s="28"/>
      <c r="CQ130" s="28"/>
      <c r="CR130" s="28"/>
      <c r="CS130" s="28"/>
      <c r="CT130" s="28"/>
    </row>
    <row r="131" spans="5:98" ht="12.75">
      <c r="E131" s="26"/>
      <c r="F131" s="26"/>
      <c r="H131" s="27"/>
      <c r="I131" s="27"/>
      <c r="S131" s="28"/>
      <c r="T131" s="28"/>
      <c r="V131" s="29"/>
      <c r="W131" s="29"/>
      <c r="AB131" s="28"/>
      <c r="CQ131" s="28"/>
      <c r="CR131" s="28"/>
      <c r="CS131" s="28"/>
      <c r="CT131" s="28"/>
    </row>
    <row r="132" spans="5:98" ht="12.75">
      <c r="E132" s="26"/>
      <c r="F132" s="26"/>
      <c r="H132" s="27"/>
      <c r="I132" s="27"/>
      <c r="S132" s="28"/>
      <c r="T132" s="28"/>
      <c r="V132" s="29"/>
      <c r="W132" s="29"/>
      <c r="AB132" s="28"/>
      <c r="CQ132" s="28"/>
      <c r="CR132" s="28"/>
      <c r="CS132" s="28"/>
      <c r="CT132" s="28"/>
    </row>
    <row r="133" spans="5:98" ht="12.75">
      <c r="E133" s="26"/>
      <c r="F133" s="26"/>
      <c r="H133" s="27"/>
      <c r="I133" s="27"/>
      <c r="S133" s="28"/>
      <c r="T133" s="28"/>
      <c r="V133" s="29"/>
      <c r="W133" s="29"/>
      <c r="AB133" s="28"/>
      <c r="CQ133" s="28"/>
      <c r="CR133" s="28"/>
      <c r="CS133" s="28"/>
      <c r="CT133" s="28"/>
    </row>
    <row r="134" spans="5:98" ht="12.75">
      <c r="E134" s="26"/>
      <c r="F134" s="26"/>
      <c r="H134" s="27"/>
      <c r="I134" s="27"/>
      <c r="S134" s="28"/>
      <c r="T134" s="28"/>
      <c r="V134" s="29"/>
      <c r="W134" s="29"/>
      <c r="AB134" s="28"/>
      <c r="CQ134" s="28"/>
      <c r="CR134" s="28"/>
      <c r="CS134" s="28"/>
      <c r="CT134" s="28"/>
    </row>
    <row r="135" spans="5:98" ht="12.75">
      <c r="E135" s="26"/>
      <c r="F135" s="26"/>
      <c r="H135" s="27"/>
      <c r="I135" s="27"/>
      <c r="S135" s="28"/>
      <c r="T135" s="28"/>
      <c r="V135" s="29"/>
      <c r="W135" s="29"/>
      <c r="AB135" s="28"/>
      <c r="CQ135" s="28"/>
      <c r="CR135" s="28"/>
      <c r="CS135" s="28"/>
      <c r="CT135" s="28"/>
    </row>
    <row r="136" spans="5:98" ht="12.75">
      <c r="E136" s="26"/>
      <c r="F136" s="26"/>
      <c r="H136" s="27"/>
      <c r="I136" s="27"/>
      <c r="S136" s="28"/>
      <c r="T136" s="28"/>
      <c r="V136" s="29"/>
      <c r="W136" s="29"/>
      <c r="AB136" s="28"/>
      <c r="CQ136" s="28"/>
      <c r="CR136" s="28"/>
      <c r="CS136" s="28"/>
      <c r="CT136" s="28"/>
    </row>
    <row r="137" spans="5:98" ht="12.75">
      <c r="E137" s="26"/>
      <c r="F137" s="26"/>
      <c r="H137" s="27"/>
      <c r="I137" s="27"/>
      <c r="S137" s="28"/>
      <c r="T137" s="28"/>
      <c r="V137" s="29"/>
      <c r="W137" s="29"/>
      <c r="AB137" s="28"/>
      <c r="CQ137" s="28"/>
      <c r="CR137" s="28"/>
      <c r="CS137" s="28"/>
      <c r="CT137" s="28"/>
    </row>
    <row r="138" spans="5:98" ht="12.75">
      <c r="E138" s="26"/>
      <c r="F138" s="26"/>
      <c r="H138" s="27"/>
      <c r="I138" s="27"/>
      <c r="S138" s="28"/>
      <c r="T138" s="28"/>
      <c r="V138" s="29"/>
      <c r="W138" s="29"/>
      <c r="AB138" s="28"/>
      <c r="CQ138" s="28"/>
      <c r="CR138" s="28"/>
      <c r="CS138" s="28"/>
      <c r="CT138" s="28"/>
    </row>
    <row r="139" spans="5:98" ht="12.75">
      <c r="E139" s="26"/>
      <c r="F139" s="26"/>
      <c r="H139" s="27"/>
      <c r="I139" s="27"/>
      <c r="S139" s="28"/>
      <c r="T139" s="28"/>
      <c r="V139" s="29"/>
      <c r="W139" s="29"/>
      <c r="AB139" s="28"/>
      <c r="CQ139" s="28"/>
      <c r="CR139" s="28"/>
      <c r="CS139" s="28"/>
      <c r="CT139" s="28"/>
    </row>
    <row r="140" spans="5:98" ht="12.75">
      <c r="E140" s="26"/>
      <c r="F140" s="26"/>
      <c r="H140" s="27"/>
      <c r="I140" s="27"/>
      <c r="S140" s="28"/>
      <c r="T140" s="28"/>
      <c r="V140" s="29"/>
      <c r="W140" s="29"/>
      <c r="AB140" s="28"/>
      <c r="CQ140" s="28"/>
      <c r="CR140" s="28"/>
      <c r="CS140" s="28"/>
      <c r="CT140" s="28"/>
    </row>
    <row r="141" spans="5:98" ht="12.75">
      <c r="E141" s="26"/>
      <c r="F141" s="26"/>
      <c r="H141" s="27"/>
      <c r="I141" s="27"/>
      <c r="S141" s="28"/>
      <c r="T141" s="28"/>
      <c r="V141" s="29"/>
      <c r="W141" s="29"/>
      <c r="AB141" s="28"/>
      <c r="CQ141" s="28"/>
      <c r="CR141" s="28"/>
      <c r="CS141" s="28"/>
      <c r="CT141" s="28"/>
    </row>
    <row r="142" spans="5:98" ht="12.75">
      <c r="E142" s="26"/>
      <c r="F142" s="26"/>
      <c r="H142" s="27"/>
      <c r="I142" s="27"/>
      <c r="S142" s="28"/>
      <c r="T142" s="28"/>
      <c r="V142" s="29"/>
      <c r="W142" s="29"/>
      <c r="AB142" s="28"/>
      <c r="CQ142" s="28"/>
      <c r="CR142" s="28"/>
      <c r="CS142" s="28"/>
      <c r="CT142" s="28"/>
    </row>
    <row r="143" spans="5:98" ht="12.75">
      <c r="E143" s="26"/>
      <c r="F143" s="26"/>
      <c r="H143" s="27"/>
      <c r="I143" s="27"/>
      <c r="S143" s="28"/>
      <c r="T143" s="28"/>
      <c r="V143" s="29"/>
      <c r="W143" s="29"/>
      <c r="AB143" s="28"/>
      <c r="CQ143" s="28"/>
      <c r="CR143" s="28"/>
      <c r="CS143" s="28"/>
      <c r="CT143" s="28"/>
    </row>
    <row r="144" spans="5:98" ht="12.75">
      <c r="E144" s="26"/>
      <c r="F144" s="26"/>
      <c r="H144" s="27"/>
      <c r="I144" s="27"/>
      <c r="S144" s="28"/>
      <c r="T144" s="28"/>
      <c r="V144" s="29"/>
      <c r="W144" s="29"/>
      <c r="AB144" s="28"/>
      <c r="CQ144" s="28"/>
      <c r="CR144" s="28"/>
      <c r="CS144" s="28"/>
      <c r="CT144" s="28"/>
    </row>
    <row r="145" spans="5:98" ht="12.75">
      <c r="E145" s="26"/>
      <c r="F145" s="26"/>
      <c r="H145" s="27"/>
      <c r="I145" s="27"/>
      <c r="S145" s="28"/>
      <c r="T145" s="28"/>
      <c r="V145" s="29"/>
      <c r="W145" s="29"/>
      <c r="AB145" s="28"/>
      <c r="CQ145" s="28"/>
      <c r="CR145" s="28"/>
      <c r="CS145" s="28"/>
      <c r="CT145" s="28"/>
    </row>
    <row r="146" spans="5:98" ht="12.75">
      <c r="E146" s="26"/>
      <c r="F146" s="26"/>
      <c r="H146" s="27"/>
      <c r="I146" s="27"/>
      <c r="S146" s="28"/>
      <c r="T146" s="28"/>
      <c r="V146" s="29"/>
      <c r="W146" s="29"/>
      <c r="AB146" s="28"/>
      <c r="CQ146" s="28"/>
      <c r="CR146" s="28"/>
      <c r="CS146" s="28"/>
      <c r="CT146" s="28"/>
    </row>
    <row r="147" spans="5:98" ht="12.75">
      <c r="E147" s="26"/>
      <c r="F147" s="26"/>
      <c r="H147" s="27"/>
      <c r="I147" s="27"/>
      <c r="S147" s="28"/>
      <c r="T147" s="28"/>
      <c r="V147" s="29"/>
      <c r="W147" s="29"/>
      <c r="AB147" s="28"/>
      <c r="CQ147" s="28"/>
      <c r="CR147" s="28"/>
      <c r="CS147" s="28"/>
      <c r="CT147" s="28"/>
    </row>
    <row r="148" spans="5:98" ht="12.75">
      <c r="E148" s="26"/>
      <c r="F148" s="26"/>
      <c r="H148" s="27"/>
      <c r="I148" s="27"/>
      <c r="S148" s="28"/>
      <c r="T148" s="28"/>
      <c r="V148" s="29"/>
      <c r="W148" s="29"/>
      <c r="AB148" s="28"/>
      <c r="CQ148" s="28"/>
      <c r="CR148" s="28"/>
      <c r="CS148" s="28"/>
      <c r="CT148" s="28"/>
    </row>
    <row r="149" spans="5:98" ht="12.75">
      <c r="E149" s="26"/>
      <c r="F149" s="26"/>
      <c r="H149" s="27"/>
      <c r="I149" s="27"/>
      <c r="S149" s="28"/>
      <c r="T149" s="28"/>
      <c r="V149" s="29"/>
      <c r="W149" s="29"/>
      <c r="AB149" s="28"/>
      <c r="CQ149" s="28"/>
      <c r="CR149" s="28"/>
      <c r="CS149" s="28"/>
      <c r="CT149" s="28"/>
    </row>
    <row r="150" spans="5:98" ht="12.75">
      <c r="E150" s="26"/>
      <c r="F150" s="26"/>
      <c r="H150" s="27"/>
      <c r="I150" s="27"/>
      <c r="S150" s="28"/>
      <c r="T150" s="28"/>
      <c r="V150" s="29"/>
      <c r="W150" s="29"/>
      <c r="AB150" s="28"/>
      <c r="CQ150" s="28"/>
      <c r="CR150" s="28"/>
      <c r="CS150" s="28"/>
      <c r="CT150" s="28"/>
    </row>
    <row r="151" spans="5:98" ht="12.75">
      <c r="E151" s="26"/>
      <c r="F151" s="26"/>
      <c r="H151" s="27"/>
      <c r="I151" s="27"/>
      <c r="S151" s="28"/>
      <c r="T151" s="28"/>
      <c r="V151" s="29"/>
      <c r="W151" s="29"/>
      <c r="AB151" s="28"/>
      <c r="CQ151" s="28"/>
      <c r="CR151" s="28"/>
      <c r="CS151" s="28"/>
      <c r="CT151" s="28"/>
    </row>
    <row r="152" spans="5:98" ht="12.75">
      <c r="E152" s="26"/>
      <c r="F152" s="26"/>
      <c r="H152" s="27"/>
      <c r="I152" s="27"/>
      <c r="S152" s="28"/>
      <c r="T152" s="28"/>
      <c r="V152" s="29"/>
      <c r="W152" s="29"/>
      <c r="AB152" s="28"/>
      <c r="CQ152" s="28"/>
      <c r="CR152" s="28"/>
      <c r="CS152" s="28"/>
      <c r="CT152" s="28"/>
    </row>
    <row r="153" spans="5:98" ht="12.75">
      <c r="E153" s="26"/>
      <c r="F153" s="26"/>
      <c r="H153" s="27"/>
      <c r="I153" s="27"/>
      <c r="S153" s="28"/>
      <c r="T153" s="28"/>
      <c r="V153" s="29"/>
      <c r="W153" s="29"/>
      <c r="AB153" s="28"/>
      <c r="CQ153" s="28"/>
      <c r="CR153" s="28"/>
      <c r="CS153" s="28"/>
      <c r="CT153" s="28"/>
    </row>
    <row r="154" spans="5:98" ht="12.75">
      <c r="E154" s="26"/>
      <c r="F154" s="26"/>
      <c r="H154" s="27"/>
      <c r="I154" s="27"/>
      <c r="S154" s="28"/>
      <c r="T154" s="28"/>
      <c r="V154" s="29"/>
      <c r="W154" s="29"/>
      <c r="AB154" s="28"/>
      <c r="CQ154" s="28"/>
      <c r="CR154" s="28"/>
      <c r="CS154" s="28"/>
      <c r="CT154" s="28"/>
    </row>
    <row r="155" spans="5:98" ht="12.75">
      <c r="E155" s="26"/>
      <c r="F155" s="26"/>
      <c r="H155" s="27"/>
      <c r="I155" s="27"/>
      <c r="S155" s="28"/>
      <c r="T155" s="28"/>
      <c r="V155" s="29"/>
      <c r="W155" s="29"/>
      <c r="AB155" s="28"/>
      <c r="CQ155" s="28"/>
      <c r="CR155" s="28"/>
      <c r="CS155" s="28"/>
      <c r="CT155" s="28"/>
    </row>
    <row r="156" spans="5:98" ht="12.75">
      <c r="E156" s="26"/>
      <c r="F156" s="26"/>
      <c r="G156" s="28"/>
      <c r="H156" s="27"/>
      <c r="I156" s="27"/>
      <c r="J156" s="28"/>
      <c r="K156" s="28"/>
      <c r="L156" s="28"/>
      <c r="O156" s="28"/>
      <c r="P156" s="28"/>
      <c r="Q156" s="28"/>
      <c r="R156" s="28"/>
      <c r="S156" s="28"/>
      <c r="T156" s="28"/>
      <c r="U156" s="28"/>
      <c r="V156" s="28"/>
      <c r="W156" s="28"/>
      <c r="AB156" s="28"/>
      <c r="AC156" s="28"/>
      <c r="AD156" s="28"/>
      <c r="AE156" s="28"/>
      <c r="AG156" s="28"/>
      <c r="AH156" s="28"/>
      <c r="AI156" s="28"/>
      <c r="AJ156" s="28"/>
      <c r="AK156" s="28"/>
      <c r="CP156" s="28"/>
      <c r="CQ156" s="28"/>
      <c r="CR156" s="28"/>
      <c r="CS156" s="28"/>
      <c r="CT156" s="28"/>
    </row>
    <row r="157" spans="5:98" ht="12.75">
      <c r="E157" s="26"/>
      <c r="F157" s="26"/>
      <c r="H157" s="27"/>
      <c r="I157" s="27"/>
      <c r="S157" s="28"/>
      <c r="T157" s="28"/>
      <c r="V157" s="29"/>
      <c r="W157" s="29"/>
      <c r="AB157" s="28"/>
      <c r="CQ157" s="28"/>
      <c r="CR157" s="28"/>
      <c r="CS157" s="28"/>
      <c r="CT157" s="28"/>
    </row>
    <row r="158" spans="5:98" ht="12.75">
      <c r="E158" s="26"/>
      <c r="F158" s="26"/>
      <c r="H158" s="27"/>
      <c r="I158" s="27"/>
      <c r="S158" s="28"/>
      <c r="T158" s="28"/>
      <c r="V158" s="29"/>
      <c r="W158" s="29"/>
      <c r="AB158" s="28"/>
      <c r="CQ158" s="28"/>
      <c r="CR158" s="28"/>
      <c r="CS158" s="28"/>
      <c r="CT158" s="28"/>
    </row>
    <row r="159" spans="5:98" ht="12.75">
      <c r="E159" s="26"/>
      <c r="F159" s="26"/>
      <c r="H159" s="27"/>
      <c r="I159" s="27"/>
      <c r="S159" s="28"/>
      <c r="T159" s="28"/>
      <c r="V159" s="29"/>
      <c r="W159" s="29"/>
      <c r="AB159" s="28"/>
      <c r="CQ159" s="28"/>
      <c r="CR159" s="28"/>
      <c r="CS159" s="28"/>
      <c r="CT159" s="28"/>
    </row>
    <row r="160" spans="5:98" ht="12.75">
      <c r="E160" s="26"/>
      <c r="F160" s="26"/>
      <c r="H160" s="27"/>
      <c r="I160" s="27"/>
      <c r="S160" s="28"/>
      <c r="T160" s="28"/>
      <c r="V160" s="29"/>
      <c r="W160" s="29"/>
      <c r="AB160" s="28"/>
      <c r="CQ160" s="28"/>
      <c r="CR160" s="28"/>
      <c r="CS160" s="28"/>
      <c r="CT160" s="28"/>
    </row>
    <row r="161" spans="5:98" ht="12.75">
      <c r="E161" s="26"/>
      <c r="F161" s="26"/>
      <c r="H161" s="27"/>
      <c r="I161" s="27"/>
      <c r="S161" s="28"/>
      <c r="T161" s="28"/>
      <c r="V161" s="29"/>
      <c r="W161" s="29"/>
      <c r="AB161" s="28"/>
      <c r="CQ161" s="28"/>
      <c r="CR161" s="28"/>
      <c r="CS161" s="28"/>
      <c r="CT161" s="28"/>
    </row>
    <row r="162" spans="5:98" ht="12.75">
      <c r="E162" s="26"/>
      <c r="F162" s="26"/>
      <c r="H162" s="27"/>
      <c r="I162" s="27"/>
      <c r="S162" s="28"/>
      <c r="T162" s="28"/>
      <c r="V162" s="29"/>
      <c r="W162" s="29"/>
      <c r="AB162" s="28"/>
      <c r="CQ162" s="28"/>
      <c r="CR162" s="28"/>
      <c r="CS162" s="28"/>
      <c r="CT162" s="28"/>
    </row>
    <row r="163" spans="5:98" ht="12.75">
      <c r="E163" s="26"/>
      <c r="F163" s="26"/>
      <c r="H163" s="27"/>
      <c r="I163" s="27"/>
      <c r="S163" s="28"/>
      <c r="T163" s="28"/>
      <c r="V163" s="29"/>
      <c r="W163" s="29"/>
      <c r="AB163" s="28"/>
      <c r="CQ163" s="28"/>
      <c r="CR163" s="28"/>
      <c r="CS163" s="28"/>
      <c r="CT163" s="28"/>
    </row>
    <row r="164" spans="5:98" ht="12.75">
      <c r="E164" s="26"/>
      <c r="F164" s="26"/>
      <c r="H164" s="27"/>
      <c r="I164" s="27"/>
      <c r="S164" s="28"/>
      <c r="T164" s="28"/>
      <c r="V164" s="29"/>
      <c r="W164" s="29"/>
      <c r="AB164" s="28"/>
      <c r="CQ164" s="28"/>
      <c r="CR164" s="28"/>
      <c r="CS164" s="28"/>
      <c r="CT164" s="28"/>
    </row>
    <row r="165" spans="5:98" ht="12.75">
      <c r="E165" s="26"/>
      <c r="F165" s="26"/>
      <c r="H165" s="27"/>
      <c r="I165" s="27"/>
      <c r="S165" s="28"/>
      <c r="T165" s="28"/>
      <c r="V165" s="29"/>
      <c r="W165" s="29"/>
      <c r="AB165" s="28"/>
      <c r="CQ165" s="28"/>
      <c r="CR165" s="28"/>
      <c r="CS165" s="28"/>
      <c r="CT165" s="28"/>
    </row>
    <row r="166" spans="5:98" ht="12.75">
      <c r="E166" s="26"/>
      <c r="F166" s="26"/>
      <c r="H166" s="27"/>
      <c r="I166" s="27"/>
      <c r="S166" s="28"/>
      <c r="T166" s="28"/>
      <c r="V166" s="29"/>
      <c r="W166" s="29"/>
      <c r="AB166" s="28"/>
      <c r="CQ166" s="28"/>
      <c r="CR166" s="28"/>
      <c r="CS166" s="28"/>
      <c r="CT166" s="28"/>
    </row>
    <row r="167" spans="5:98" ht="12.75">
      <c r="E167" s="26"/>
      <c r="F167" s="26"/>
      <c r="H167" s="27"/>
      <c r="I167" s="27"/>
      <c r="S167" s="28"/>
      <c r="T167" s="28"/>
      <c r="V167" s="29"/>
      <c r="W167" s="29"/>
      <c r="AB167" s="28"/>
      <c r="CQ167" s="28"/>
      <c r="CR167" s="28"/>
      <c r="CS167" s="28"/>
      <c r="CT167" s="28"/>
    </row>
    <row r="168" spans="5:98" ht="12.75">
      <c r="E168" s="26"/>
      <c r="F168" s="26"/>
      <c r="H168" s="27"/>
      <c r="I168" s="27"/>
      <c r="S168" s="28"/>
      <c r="T168" s="28"/>
      <c r="V168" s="29"/>
      <c r="W168" s="29"/>
      <c r="AB168" s="28"/>
      <c r="CQ168" s="28"/>
      <c r="CR168" s="28"/>
      <c r="CS168" s="28"/>
      <c r="CT168" s="28"/>
    </row>
    <row r="169" spans="5:98" ht="12.75">
      <c r="E169" s="26"/>
      <c r="F169" s="26"/>
      <c r="H169" s="27"/>
      <c r="I169" s="27"/>
      <c r="S169" s="28"/>
      <c r="T169" s="28"/>
      <c r="V169" s="29"/>
      <c r="W169" s="29"/>
      <c r="AB169" s="28"/>
      <c r="CQ169" s="28"/>
      <c r="CR169" s="28"/>
      <c r="CS169" s="28"/>
      <c r="CT169" s="28"/>
    </row>
    <row r="170" spans="5:98" ht="12.75">
      <c r="E170" s="26"/>
      <c r="F170" s="26"/>
      <c r="H170" s="27"/>
      <c r="I170" s="27"/>
      <c r="S170" s="28"/>
      <c r="T170" s="28"/>
      <c r="V170" s="29"/>
      <c r="W170" s="29"/>
      <c r="AB170" s="28"/>
      <c r="CQ170" s="28"/>
      <c r="CR170" s="28"/>
      <c r="CS170" s="28"/>
      <c r="CT170" s="28"/>
    </row>
    <row r="171" spans="5:98" ht="12.75">
      <c r="E171" s="26"/>
      <c r="F171" s="26"/>
      <c r="H171" s="27"/>
      <c r="I171" s="27"/>
      <c r="S171" s="28"/>
      <c r="T171" s="28"/>
      <c r="V171" s="29"/>
      <c r="W171" s="29"/>
      <c r="AB171" s="28"/>
      <c r="CQ171" s="28"/>
      <c r="CR171" s="28"/>
      <c r="CS171" s="28"/>
      <c r="CT171" s="28"/>
    </row>
    <row r="172" spans="5:98" ht="12.75">
      <c r="E172" s="26"/>
      <c r="F172" s="26"/>
      <c r="H172" s="27"/>
      <c r="I172" s="27"/>
      <c r="S172" s="28"/>
      <c r="T172" s="28"/>
      <c r="V172" s="29"/>
      <c r="W172" s="29"/>
      <c r="AB172" s="28"/>
      <c r="CQ172" s="28"/>
      <c r="CR172" s="28"/>
      <c r="CS172" s="28"/>
      <c r="CT172" s="28"/>
    </row>
    <row r="173" spans="5:98" ht="12.75">
      <c r="E173" s="26"/>
      <c r="F173" s="26"/>
      <c r="H173" s="27"/>
      <c r="I173" s="27"/>
      <c r="S173" s="28"/>
      <c r="T173" s="28"/>
      <c r="V173" s="29"/>
      <c r="W173" s="29"/>
      <c r="AB173" s="28"/>
      <c r="CQ173" s="28"/>
      <c r="CR173" s="28"/>
      <c r="CS173" s="28"/>
      <c r="CT173" s="28"/>
    </row>
    <row r="174" spans="5:98" ht="12.75">
      <c r="E174" s="26"/>
      <c r="F174" s="26"/>
      <c r="H174" s="27"/>
      <c r="I174" s="27"/>
      <c r="S174" s="28"/>
      <c r="T174" s="28"/>
      <c r="V174" s="29"/>
      <c r="W174" s="29"/>
      <c r="AB174" s="28"/>
      <c r="CQ174" s="28"/>
      <c r="CR174" s="28"/>
      <c r="CS174" s="28"/>
      <c r="CT174" s="28"/>
    </row>
    <row r="175" spans="5:98" ht="12.75">
      <c r="E175" s="26"/>
      <c r="F175" s="26"/>
      <c r="H175" s="27"/>
      <c r="I175" s="27"/>
      <c r="S175" s="28"/>
      <c r="T175" s="28"/>
      <c r="V175" s="29"/>
      <c r="W175" s="29"/>
      <c r="AB175" s="28"/>
      <c r="CQ175" s="28"/>
      <c r="CR175" s="28"/>
      <c r="CS175" s="28"/>
      <c r="CT175" s="28"/>
    </row>
    <row r="176" spans="5:98" ht="12.75">
      <c r="E176" s="26"/>
      <c r="F176" s="26"/>
      <c r="H176" s="27"/>
      <c r="I176" s="27"/>
      <c r="S176" s="28"/>
      <c r="T176" s="28"/>
      <c r="V176" s="29"/>
      <c r="W176" s="29"/>
      <c r="AB176" s="28"/>
      <c r="CQ176" s="28"/>
      <c r="CR176" s="28"/>
      <c r="CS176" s="28"/>
      <c r="CT176" s="28"/>
    </row>
    <row r="177" spans="5:98" ht="12.75">
      <c r="E177" s="26"/>
      <c r="F177" s="26"/>
      <c r="H177" s="27"/>
      <c r="I177" s="27"/>
      <c r="S177" s="28"/>
      <c r="T177" s="28"/>
      <c r="V177" s="29"/>
      <c r="W177" s="29"/>
      <c r="AB177" s="28"/>
      <c r="CQ177" s="28"/>
      <c r="CR177" s="28"/>
      <c r="CS177" s="28"/>
      <c r="CT177" s="28"/>
    </row>
    <row r="178" spans="5:98" ht="12.75">
      <c r="E178" s="26"/>
      <c r="F178" s="26"/>
      <c r="H178" s="27"/>
      <c r="I178" s="27"/>
      <c r="S178" s="28"/>
      <c r="T178" s="28"/>
      <c r="V178" s="29"/>
      <c r="W178" s="29"/>
      <c r="AB178" s="28"/>
      <c r="CQ178" s="28"/>
      <c r="CR178" s="28"/>
      <c r="CS178" s="28"/>
      <c r="CT178" s="28"/>
    </row>
    <row r="179" spans="5:98" ht="12.75">
      <c r="E179" s="26"/>
      <c r="F179" s="26"/>
      <c r="H179" s="27"/>
      <c r="I179" s="27"/>
      <c r="S179" s="28"/>
      <c r="T179" s="28"/>
      <c r="V179" s="29"/>
      <c r="W179" s="29"/>
      <c r="AB179" s="28"/>
      <c r="CQ179" s="28"/>
      <c r="CR179" s="28"/>
      <c r="CS179" s="28"/>
      <c r="CT179" s="28"/>
    </row>
    <row r="180" spans="5:98" ht="12.75">
      <c r="E180" s="26"/>
      <c r="F180" s="26"/>
      <c r="H180" s="27"/>
      <c r="I180" s="27"/>
      <c r="S180" s="28"/>
      <c r="T180" s="28"/>
      <c r="V180" s="29"/>
      <c r="W180" s="29"/>
      <c r="AB180" s="28"/>
      <c r="CQ180" s="28"/>
      <c r="CR180" s="28"/>
      <c r="CS180" s="28"/>
      <c r="CT180" s="28"/>
    </row>
    <row r="181" spans="5:98" ht="12.75">
      <c r="E181" s="26"/>
      <c r="F181" s="26"/>
      <c r="H181" s="27"/>
      <c r="I181" s="27"/>
      <c r="S181" s="28"/>
      <c r="T181" s="28"/>
      <c r="V181" s="29"/>
      <c r="W181" s="29"/>
      <c r="AB181" s="28"/>
      <c r="CQ181" s="28"/>
      <c r="CR181" s="28"/>
      <c r="CS181" s="28"/>
      <c r="CT181" s="28"/>
    </row>
    <row r="182" spans="5:98" ht="12.75">
      <c r="E182" s="26"/>
      <c r="F182" s="26"/>
      <c r="H182" s="27"/>
      <c r="I182" s="27"/>
      <c r="S182" s="28"/>
      <c r="T182" s="28"/>
      <c r="V182" s="29"/>
      <c r="W182" s="29"/>
      <c r="AB182" s="28"/>
      <c r="CQ182" s="28"/>
      <c r="CR182" s="28"/>
      <c r="CS182" s="28"/>
      <c r="CT182" s="28"/>
    </row>
    <row r="183" spans="5:98" ht="12.75">
      <c r="E183" s="26"/>
      <c r="F183" s="26"/>
      <c r="H183" s="27"/>
      <c r="I183" s="27"/>
      <c r="S183" s="28"/>
      <c r="T183" s="28"/>
      <c r="V183" s="29"/>
      <c r="W183" s="29"/>
      <c r="AB183" s="28"/>
      <c r="CQ183" s="28"/>
      <c r="CR183" s="28"/>
      <c r="CS183" s="28"/>
      <c r="CT183" s="28"/>
    </row>
    <row r="184" spans="5:98" ht="12.75">
      <c r="E184" s="26"/>
      <c r="F184" s="26"/>
      <c r="H184" s="27"/>
      <c r="I184" s="27"/>
      <c r="S184" s="28"/>
      <c r="T184" s="28"/>
      <c r="V184" s="29"/>
      <c r="W184" s="29"/>
      <c r="AB184" s="28"/>
      <c r="CQ184" s="28"/>
      <c r="CR184" s="28"/>
      <c r="CS184" s="28"/>
      <c r="CT184" s="28"/>
    </row>
    <row r="185" spans="5:98" ht="12.75">
      <c r="E185" s="26"/>
      <c r="F185" s="26"/>
      <c r="H185" s="27"/>
      <c r="I185" s="27"/>
      <c r="S185" s="28"/>
      <c r="T185" s="28"/>
      <c r="V185" s="29"/>
      <c r="W185" s="29"/>
      <c r="AB185" s="28"/>
      <c r="CQ185" s="28"/>
      <c r="CR185" s="28"/>
      <c r="CS185" s="28"/>
      <c r="CT185" s="28"/>
    </row>
    <row r="186" spans="5:98" ht="12.75">
      <c r="E186" s="26"/>
      <c r="F186" s="26"/>
      <c r="H186" s="27"/>
      <c r="I186" s="27"/>
      <c r="S186" s="28"/>
      <c r="T186" s="28"/>
      <c r="V186" s="29"/>
      <c r="W186" s="29"/>
      <c r="AB186" s="28"/>
      <c r="CQ186" s="28"/>
      <c r="CR186" s="28"/>
      <c r="CS186" s="28"/>
      <c r="CT186" s="28"/>
    </row>
    <row r="187" spans="5:98" ht="12.75">
      <c r="E187" s="26"/>
      <c r="F187" s="26"/>
      <c r="H187" s="27"/>
      <c r="I187" s="27"/>
      <c r="S187" s="28"/>
      <c r="T187" s="28"/>
      <c r="V187" s="29"/>
      <c r="W187" s="29"/>
      <c r="AB187" s="28"/>
      <c r="CQ187" s="28"/>
      <c r="CR187" s="28"/>
      <c r="CS187" s="28"/>
      <c r="CT187" s="28"/>
    </row>
    <row r="188" spans="5:98" ht="12.75">
      <c r="E188" s="26"/>
      <c r="F188" s="26"/>
      <c r="H188" s="27"/>
      <c r="I188" s="27"/>
      <c r="S188" s="28"/>
      <c r="T188" s="28"/>
      <c r="V188" s="29"/>
      <c r="W188" s="29"/>
      <c r="AB188" s="28"/>
      <c r="CQ188" s="28"/>
      <c r="CR188" s="28"/>
      <c r="CS188" s="28"/>
      <c r="CT188" s="28"/>
    </row>
    <row r="189" spans="5:98" ht="12.75">
      <c r="E189" s="26"/>
      <c r="F189" s="26"/>
      <c r="H189" s="27"/>
      <c r="I189" s="27"/>
      <c r="S189" s="28"/>
      <c r="T189" s="28"/>
      <c r="V189" s="29"/>
      <c r="W189" s="29"/>
      <c r="AB189" s="28"/>
      <c r="CQ189" s="28"/>
      <c r="CR189" s="28"/>
      <c r="CS189" s="28"/>
      <c r="CT189" s="28"/>
    </row>
    <row r="190" spans="5:98" ht="12.75">
      <c r="E190" s="26"/>
      <c r="F190" s="26"/>
      <c r="H190" s="27"/>
      <c r="I190" s="27"/>
      <c r="S190" s="28"/>
      <c r="T190" s="28"/>
      <c r="V190" s="29"/>
      <c r="W190" s="29"/>
      <c r="AB190" s="28"/>
      <c r="CQ190" s="28"/>
      <c r="CR190" s="28"/>
      <c r="CS190" s="28"/>
      <c r="CT190" s="28"/>
    </row>
    <row r="191" spans="5:98" ht="12.75">
      <c r="E191" s="26"/>
      <c r="F191" s="26"/>
      <c r="H191" s="27"/>
      <c r="I191" s="27"/>
      <c r="S191" s="28"/>
      <c r="T191" s="28"/>
      <c r="V191" s="29"/>
      <c r="W191" s="29"/>
      <c r="AB191" s="28"/>
      <c r="CQ191" s="28"/>
      <c r="CR191" s="28"/>
      <c r="CS191" s="28"/>
      <c r="CT191" s="28"/>
    </row>
    <row r="192" spans="5:98" ht="12.75">
      <c r="E192" s="26"/>
      <c r="F192" s="26"/>
      <c r="H192" s="27"/>
      <c r="I192" s="27"/>
      <c r="S192" s="28"/>
      <c r="T192" s="28"/>
      <c r="V192" s="29"/>
      <c r="W192" s="29"/>
      <c r="AB192" s="28"/>
      <c r="CQ192" s="28"/>
      <c r="CR192" s="28"/>
      <c r="CS192" s="28"/>
      <c r="CT192" s="28"/>
    </row>
    <row r="193" spans="5:98" ht="12.75">
      <c r="E193" s="26"/>
      <c r="F193" s="26"/>
      <c r="H193" s="27"/>
      <c r="I193" s="27"/>
      <c r="S193" s="28"/>
      <c r="T193" s="28"/>
      <c r="V193" s="29"/>
      <c r="W193" s="29"/>
      <c r="AB193" s="28"/>
      <c r="CQ193" s="28"/>
      <c r="CR193" s="28"/>
      <c r="CS193" s="28"/>
      <c r="CT193" s="28"/>
    </row>
    <row r="194" spans="5:98" ht="12.75">
      <c r="E194" s="26"/>
      <c r="F194" s="26"/>
      <c r="H194" s="27"/>
      <c r="I194" s="27"/>
      <c r="S194" s="28"/>
      <c r="T194" s="28"/>
      <c r="V194" s="29"/>
      <c r="W194" s="29"/>
      <c r="AB194" s="28"/>
      <c r="CQ194" s="28"/>
      <c r="CR194" s="28"/>
      <c r="CS194" s="28"/>
      <c r="CT194" s="28"/>
    </row>
    <row r="195" spans="5:98" ht="12.75">
      <c r="E195" s="26"/>
      <c r="F195" s="26"/>
      <c r="H195" s="27"/>
      <c r="I195" s="27"/>
      <c r="S195" s="28"/>
      <c r="T195" s="28"/>
      <c r="V195" s="29"/>
      <c r="W195" s="29"/>
      <c r="AB195" s="28"/>
      <c r="CQ195" s="28"/>
      <c r="CR195" s="28"/>
      <c r="CS195" s="28"/>
      <c r="CT195" s="28"/>
    </row>
    <row r="196" spans="5:98" ht="12.75">
      <c r="E196" s="26"/>
      <c r="F196" s="26"/>
      <c r="H196" s="27"/>
      <c r="I196" s="27"/>
      <c r="S196" s="28"/>
      <c r="T196" s="28"/>
      <c r="V196" s="29"/>
      <c r="W196" s="29"/>
      <c r="AB196" s="28"/>
      <c r="CQ196" s="28"/>
      <c r="CR196" s="28"/>
      <c r="CS196" s="28"/>
      <c r="CT196" s="28"/>
    </row>
    <row r="197" spans="5:98" ht="12.75">
      <c r="E197" s="26"/>
      <c r="F197" s="26"/>
      <c r="H197" s="27"/>
      <c r="I197" s="27"/>
      <c r="S197" s="28"/>
      <c r="T197" s="28"/>
      <c r="V197" s="29"/>
      <c r="W197" s="29"/>
      <c r="AB197" s="28"/>
      <c r="CQ197" s="28"/>
      <c r="CR197" s="28"/>
      <c r="CS197" s="28"/>
      <c r="CT197" s="28"/>
    </row>
    <row r="198" spans="5:98" ht="12.75">
      <c r="E198" s="26"/>
      <c r="F198" s="26"/>
      <c r="H198" s="27"/>
      <c r="I198" s="27"/>
      <c r="S198" s="28"/>
      <c r="T198" s="28"/>
      <c r="V198" s="29"/>
      <c r="W198" s="29"/>
      <c r="AB198" s="28"/>
      <c r="CQ198" s="28"/>
      <c r="CR198" s="28"/>
      <c r="CS198" s="28"/>
      <c r="CT198" s="28"/>
    </row>
    <row r="199" spans="5:98" ht="12.75">
      <c r="E199" s="26"/>
      <c r="F199" s="26"/>
      <c r="H199" s="27"/>
      <c r="I199" s="27"/>
      <c r="S199" s="28"/>
      <c r="T199" s="28"/>
      <c r="V199" s="29"/>
      <c r="W199" s="29"/>
      <c r="AB199" s="28"/>
      <c r="CQ199" s="28"/>
      <c r="CR199" s="28"/>
      <c r="CS199" s="28"/>
      <c r="CT199" s="28"/>
    </row>
    <row r="200" spans="5:98" ht="12.75">
      <c r="E200" s="26"/>
      <c r="F200" s="26"/>
      <c r="H200" s="27"/>
      <c r="I200" s="27"/>
      <c r="S200" s="28"/>
      <c r="T200" s="28"/>
      <c r="V200" s="29"/>
      <c r="W200" s="29"/>
      <c r="AB200" s="28"/>
      <c r="CQ200" s="28"/>
      <c r="CR200" s="28"/>
      <c r="CS200" s="28"/>
      <c r="CT200" s="28"/>
    </row>
    <row r="201" spans="5:98" ht="12.75">
      <c r="E201" s="26"/>
      <c r="F201" s="26"/>
      <c r="H201" s="27"/>
      <c r="I201" s="27"/>
      <c r="S201" s="28"/>
      <c r="T201" s="28"/>
      <c r="V201" s="29"/>
      <c r="W201" s="29"/>
      <c r="AB201" s="28"/>
      <c r="CQ201" s="28"/>
      <c r="CR201" s="28"/>
      <c r="CS201" s="28"/>
      <c r="CT201" s="28"/>
    </row>
    <row r="202" spans="5:98" ht="12.75">
      <c r="E202" s="26"/>
      <c r="F202" s="26"/>
      <c r="H202" s="27"/>
      <c r="I202" s="27"/>
      <c r="S202" s="28"/>
      <c r="T202" s="28"/>
      <c r="V202" s="29"/>
      <c r="W202" s="29"/>
      <c r="AB202" s="28"/>
      <c r="CQ202" s="28"/>
      <c r="CR202" s="28"/>
      <c r="CS202" s="28"/>
      <c r="CT202" s="28"/>
    </row>
    <row r="203" spans="5:98" ht="12.75">
      <c r="E203" s="26"/>
      <c r="F203" s="26"/>
      <c r="H203" s="27"/>
      <c r="I203" s="27"/>
      <c r="S203" s="28"/>
      <c r="T203" s="28"/>
      <c r="V203" s="29"/>
      <c r="W203" s="29"/>
      <c r="AB203" s="28"/>
      <c r="CQ203" s="28"/>
      <c r="CR203" s="28"/>
      <c r="CS203" s="28"/>
      <c r="CT203" s="28"/>
    </row>
    <row r="204" spans="5:98" ht="12.75">
      <c r="E204" s="26"/>
      <c r="F204" s="26"/>
      <c r="H204" s="27"/>
      <c r="I204" s="27"/>
      <c r="S204" s="28"/>
      <c r="T204" s="28"/>
      <c r="V204" s="29"/>
      <c r="W204" s="29"/>
      <c r="AB204" s="28"/>
      <c r="CQ204" s="28"/>
      <c r="CR204" s="28"/>
      <c r="CS204" s="28"/>
      <c r="CT204" s="28"/>
    </row>
    <row r="205" spans="5:98" ht="12.75">
      <c r="E205" s="26"/>
      <c r="F205" s="26"/>
      <c r="H205" s="27"/>
      <c r="I205" s="27"/>
      <c r="S205" s="28"/>
      <c r="T205" s="28"/>
      <c r="V205" s="29"/>
      <c r="W205" s="29"/>
      <c r="AB205" s="28"/>
      <c r="CQ205" s="28"/>
      <c r="CR205" s="28"/>
      <c r="CS205" s="28"/>
      <c r="CT205" s="28"/>
    </row>
    <row r="206" spans="5:98" ht="12.75">
      <c r="E206" s="26"/>
      <c r="F206" s="26"/>
      <c r="H206" s="27"/>
      <c r="I206" s="27"/>
      <c r="S206" s="28"/>
      <c r="T206" s="28"/>
      <c r="V206" s="29"/>
      <c r="W206" s="29"/>
      <c r="AB206" s="28"/>
      <c r="CQ206" s="28"/>
      <c r="CR206" s="28"/>
      <c r="CS206" s="28"/>
      <c r="CT206" s="28"/>
    </row>
    <row r="207" spans="5:98" ht="12.75">
      <c r="E207" s="26"/>
      <c r="F207" s="26"/>
      <c r="H207" s="27"/>
      <c r="I207" s="27"/>
      <c r="S207" s="28"/>
      <c r="T207" s="28"/>
      <c r="V207" s="29"/>
      <c r="W207" s="29"/>
      <c r="AB207" s="28"/>
      <c r="CQ207" s="28"/>
      <c r="CR207" s="28"/>
      <c r="CS207" s="28"/>
      <c r="CT207" s="28"/>
    </row>
    <row r="208" spans="5:98" ht="12.75">
      <c r="E208" s="26"/>
      <c r="F208" s="26"/>
      <c r="H208" s="27"/>
      <c r="I208" s="27"/>
      <c r="S208" s="28"/>
      <c r="T208" s="28"/>
      <c r="V208" s="29"/>
      <c r="W208" s="29"/>
      <c r="AB208" s="28"/>
      <c r="CQ208" s="28"/>
      <c r="CR208" s="28"/>
      <c r="CS208" s="28"/>
      <c r="CT208" s="28"/>
    </row>
    <row r="209" spans="5:98" ht="12.75">
      <c r="E209" s="26"/>
      <c r="F209" s="26"/>
      <c r="H209" s="27"/>
      <c r="I209" s="27"/>
      <c r="S209" s="28"/>
      <c r="T209" s="28"/>
      <c r="V209" s="29"/>
      <c r="W209" s="29"/>
      <c r="AB209" s="28"/>
      <c r="CQ209" s="28"/>
      <c r="CR209" s="28"/>
      <c r="CS209" s="28"/>
      <c r="CT209" s="28"/>
    </row>
    <row r="210" spans="5:98" ht="12.75">
      <c r="E210" s="26"/>
      <c r="F210" s="26"/>
      <c r="H210" s="27"/>
      <c r="I210" s="27"/>
      <c r="S210" s="28"/>
      <c r="T210" s="28"/>
      <c r="V210" s="29"/>
      <c r="W210" s="29"/>
      <c r="AB210" s="28"/>
      <c r="CQ210" s="28"/>
      <c r="CR210" s="28"/>
      <c r="CS210" s="28"/>
      <c r="CT210" s="28"/>
    </row>
    <row r="211" spans="5:98" ht="12.75">
      <c r="E211" s="26"/>
      <c r="F211" s="26"/>
      <c r="H211" s="27"/>
      <c r="I211" s="27"/>
      <c r="S211" s="28"/>
      <c r="T211" s="28"/>
      <c r="V211" s="29"/>
      <c r="W211" s="29"/>
      <c r="AB211" s="28"/>
      <c r="CQ211" s="28"/>
      <c r="CR211" s="28"/>
      <c r="CS211" s="28"/>
      <c r="CT211" s="28"/>
    </row>
    <row r="212" spans="5:98" ht="12.75">
      <c r="E212" s="26"/>
      <c r="F212" s="26"/>
      <c r="H212" s="27"/>
      <c r="I212" s="27"/>
      <c r="S212" s="28"/>
      <c r="T212" s="28"/>
      <c r="V212" s="29"/>
      <c r="W212" s="29"/>
      <c r="AB212" s="28"/>
      <c r="CQ212" s="28"/>
      <c r="CR212" s="28"/>
      <c r="CS212" s="28"/>
      <c r="CT212" s="28"/>
    </row>
    <row r="213" spans="5:98" ht="12.75">
      <c r="E213" s="26"/>
      <c r="F213" s="26"/>
      <c r="H213" s="27"/>
      <c r="I213" s="27"/>
      <c r="S213" s="28"/>
      <c r="T213" s="28"/>
      <c r="V213" s="29"/>
      <c r="W213" s="29"/>
      <c r="AB213" s="28"/>
      <c r="CQ213" s="28"/>
      <c r="CR213" s="28"/>
      <c r="CS213" s="28"/>
      <c r="CT213" s="28"/>
    </row>
    <row r="214" spans="5:98" ht="12.75">
      <c r="E214" s="26"/>
      <c r="F214" s="26"/>
      <c r="H214" s="27"/>
      <c r="I214" s="27"/>
      <c r="S214" s="28"/>
      <c r="T214" s="28"/>
      <c r="V214" s="29"/>
      <c r="W214" s="29"/>
      <c r="AB214" s="28"/>
      <c r="CQ214" s="28"/>
      <c r="CR214" s="28"/>
      <c r="CS214" s="28"/>
      <c r="CT214" s="28"/>
    </row>
    <row r="215" spans="5:98" ht="12.75">
      <c r="E215" s="26"/>
      <c r="F215" s="26"/>
      <c r="H215" s="27"/>
      <c r="I215" s="27"/>
      <c r="S215" s="28"/>
      <c r="T215" s="28"/>
      <c r="V215" s="29"/>
      <c r="W215" s="29"/>
      <c r="AB215" s="28"/>
      <c r="CQ215" s="28"/>
      <c r="CR215" s="28"/>
      <c r="CS215" s="28"/>
      <c r="CT215" s="28"/>
    </row>
    <row r="216" spans="5:98" ht="12.75">
      <c r="E216" s="26"/>
      <c r="F216" s="26"/>
      <c r="H216" s="27"/>
      <c r="I216" s="27"/>
      <c r="S216" s="28"/>
      <c r="T216" s="28"/>
      <c r="V216" s="29"/>
      <c r="W216" s="29"/>
      <c r="AB216" s="28"/>
      <c r="CQ216" s="28"/>
      <c r="CR216" s="28"/>
      <c r="CS216" s="28"/>
      <c r="CT216" s="28"/>
    </row>
    <row r="217" spans="5:98" ht="12.75">
      <c r="E217" s="26"/>
      <c r="F217" s="26"/>
      <c r="H217" s="27"/>
      <c r="I217" s="27"/>
      <c r="S217" s="28"/>
      <c r="T217" s="28"/>
      <c r="V217" s="29"/>
      <c r="W217" s="29"/>
      <c r="AB217" s="28"/>
      <c r="CQ217" s="28"/>
      <c r="CR217" s="28"/>
      <c r="CS217" s="28"/>
      <c r="CT217" s="28"/>
    </row>
    <row r="218" spans="5:98" ht="12.75">
      <c r="E218" s="26"/>
      <c r="F218" s="26"/>
      <c r="H218" s="27"/>
      <c r="I218" s="27"/>
      <c r="S218" s="28"/>
      <c r="T218" s="28"/>
      <c r="V218" s="29"/>
      <c r="W218" s="29"/>
      <c r="AB218" s="28"/>
      <c r="CQ218" s="28"/>
      <c r="CR218" s="28"/>
      <c r="CS218" s="28"/>
      <c r="CT218" s="28"/>
    </row>
    <row r="219" spans="5:98" ht="12.75">
      <c r="E219" s="26"/>
      <c r="F219" s="26"/>
      <c r="H219" s="27"/>
      <c r="I219" s="27"/>
      <c r="S219" s="28"/>
      <c r="T219" s="28"/>
      <c r="V219" s="29"/>
      <c r="W219" s="29"/>
      <c r="AB219" s="28"/>
      <c r="CQ219" s="28"/>
      <c r="CR219" s="28"/>
      <c r="CS219" s="28"/>
      <c r="CT219" s="28"/>
    </row>
    <row r="220" spans="5:98" ht="12.75">
      <c r="E220" s="26"/>
      <c r="F220" s="26"/>
      <c r="H220" s="27"/>
      <c r="I220" s="27"/>
      <c r="S220" s="28"/>
      <c r="T220" s="28"/>
      <c r="V220" s="29"/>
      <c r="W220" s="29"/>
      <c r="AB220" s="28"/>
      <c r="CQ220" s="28"/>
      <c r="CR220" s="28"/>
      <c r="CS220" s="28"/>
      <c r="CT220" s="28"/>
    </row>
    <row r="221" spans="5:98" ht="12.75">
      <c r="E221" s="26"/>
      <c r="F221" s="26"/>
      <c r="H221" s="27"/>
      <c r="I221" s="27"/>
      <c r="S221" s="28"/>
      <c r="T221" s="28"/>
      <c r="V221" s="29"/>
      <c r="W221" s="29"/>
      <c r="AB221" s="28"/>
      <c r="CQ221" s="28"/>
      <c r="CR221" s="28"/>
      <c r="CS221" s="28"/>
      <c r="CT221" s="28"/>
    </row>
    <row r="222" spans="5:98" ht="12.75">
      <c r="E222" s="26"/>
      <c r="F222" s="26"/>
      <c r="H222" s="27"/>
      <c r="I222" s="27"/>
      <c r="S222" s="28"/>
      <c r="T222" s="28"/>
      <c r="V222" s="29"/>
      <c r="W222" s="29"/>
      <c r="AB222" s="28"/>
      <c r="CQ222" s="28"/>
      <c r="CR222" s="28"/>
      <c r="CS222" s="28"/>
      <c r="CT222" s="28"/>
    </row>
    <row r="223" spans="5:98" ht="12.75">
      <c r="E223" s="26"/>
      <c r="F223" s="26"/>
      <c r="H223" s="27"/>
      <c r="I223" s="27"/>
      <c r="S223" s="28"/>
      <c r="T223" s="28"/>
      <c r="V223" s="29"/>
      <c r="W223" s="29"/>
      <c r="AB223" s="28"/>
      <c r="CQ223" s="28"/>
      <c r="CR223" s="28"/>
      <c r="CS223" s="28"/>
      <c r="CT223" s="28"/>
    </row>
    <row r="224" spans="5:98" ht="12.75">
      <c r="E224" s="26"/>
      <c r="F224" s="26"/>
      <c r="H224" s="27"/>
      <c r="I224" s="27"/>
      <c r="S224" s="28"/>
      <c r="T224" s="28"/>
      <c r="V224" s="29"/>
      <c r="W224" s="29"/>
      <c r="AB224" s="28"/>
      <c r="CQ224" s="28"/>
      <c r="CR224" s="28"/>
      <c r="CS224" s="28"/>
      <c r="CT224" s="28"/>
    </row>
    <row r="225" spans="5:98" ht="12.75">
      <c r="E225" s="26"/>
      <c r="F225" s="26"/>
      <c r="H225" s="27"/>
      <c r="I225" s="27"/>
      <c r="S225" s="28"/>
      <c r="T225" s="28"/>
      <c r="V225" s="29"/>
      <c r="W225" s="29"/>
      <c r="AB225" s="28"/>
      <c r="CQ225" s="28"/>
      <c r="CR225" s="28"/>
      <c r="CS225" s="28"/>
      <c r="CT225" s="28"/>
    </row>
    <row r="226" spans="5:98" ht="12.75">
      <c r="E226" s="26"/>
      <c r="F226" s="26"/>
      <c r="H226" s="27"/>
      <c r="I226" s="27"/>
      <c r="S226" s="28"/>
      <c r="T226" s="28"/>
      <c r="V226" s="29"/>
      <c r="W226" s="29"/>
      <c r="AB226" s="28"/>
      <c r="CQ226" s="28"/>
      <c r="CR226" s="28"/>
      <c r="CS226" s="28"/>
      <c r="CT226" s="28"/>
    </row>
    <row r="227" spans="5:98" ht="12.75">
      <c r="E227" s="26"/>
      <c r="F227" s="26"/>
      <c r="H227" s="27"/>
      <c r="I227" s="27"/>
      <c r="S227" s="28"/>
      <c r="T227" s="28"/>
      <c r="V227" s="29"/>
      <c r="W227" s="29"/>
      <c r="AB227" s="28"/>
      <c r="CQ227" s="28"/>
      <c r="CR227" s="28"/>
      <c r="CS227" s="28"/>
      <c r="CT227" s="28"/>
    </row>
    <row r="228" spans="5:98" ht="12.75">
      <c r="E228" s="26"/>
      <c r="F228" s="26"/>
      <c r="H228" s="27"/>
      <c r="I228" s="27"/>
      <c r="S228" s="28"/>
      <c r="T228" s="28"/>
      <c r="V228" s="29"/>
      <c r="W228" s="29"/>
      <c r="AB228" s="28"/>
      <c r="CQ228" s="28"/>
      <c r="CR228" s="28"/>
      <c r="CS228" s="28"/>
      <c r="CT228" s="28"/>
    </row>
    <row r="229" spans="5:98" ht="12.75">
      <c r="E229" s="26"/>
      <c r="F229" s="26"/>
      <c r="H229" s="27"/>
      <c r="I229" s="27"/>
      <c r="S229" s="28"/>
      <c r="T229" s="28"/>
      <c r="V229" s="29"/>
      <c r="W229" s="29"/>
      <c r="AB229" s="28"/>
      <c r="CQ229" s="28"/>
      <c r="CR229" s="28"/>
      <c r="CS229" s="28"/>
      <c r="CT229" s="28"/>
    </row>
    <row r="230" spans="5:98" ht="12.75">
      <c r="E230" s="26"/>
      <c r="F230" s="26"/>
      <c r="H230" s="27"/>
      <c r="I230" s="27"/>
      <c r="S230" s="28"/>
      <c r="T230" s="28"/>
      <c r="V230" s="29"/>
      <c r="W230" s="29"/>
      <c r="AB230" s="28"/>
      <c r="CQ230" s="28"/>
      <c r="CR230" s="28"/>
      <c r="CS230" s="28"/>
      <c r="CT230" s="28"/>
    </row>
    <row r="231" spans="5:98" ht="12.75">
      <c r="E231" s="26"/>
      <c r="F231" s="26"/>
      <c r="H231" s="27"/>
      <c r="I231" s="27"/>
      <c r="S231" s="28"/>
      <c r="T231" s="28"/>
      <c r="V231" s="29"/>
      <c r="W231" s="29"/>
      <c r="AB231" s="28"/>
      <c r="CQ231" s="28"/>
      <c r="CR231" s="28"/>
      <c r="CS231" s="28"/>
      <c r="CT231" s="28"/>
    </row>
    <row r="232" spans="5:98" ht="12.75">
      <c r="E232" s="26"/>
      <c r="F232" s="26"/>
      <c r="G232" s="28"/>
      <c r="H232" s="27"/>
      <c r="I232" s="27"/>
      <c r="J232" s="28"/>
      <c r="K232" s="28"/>
      <c r="L232" s="28"/>
      <c r="O232" s="28"/>
      <c r="P232" s="28"/>
      <c r="Q232" s="28"/>
      <c r="R232" s="28"/>
      <c r="S232" s="28"/>
      <c r="T232" s="28"/>
      <c r="U232" s="28"/>
      <c r="V232" s="28"/>
      <c r="W232" s="28"/>
      <c r="AB232" s="28"/>
      <c r="AC232" s="28"/>
      <c r="AD232" s="28"/>
      <c r="AE232" s="28"/>
      <c r="AG232" s="28"/>
      <c r="AH232" s="28"/>
      <c r="AI232" s="28"/>
      <c r="AJ232" s="28"/>
      <c r="AK232" s="28"/>
      <c r="CP232" s="28"/>
      <c r="CQ232" s="28"/>
      <c r="CR232" s="28"/>
      <c r="CS232" s="28"/>
      <c r="CT232" s="28"/>
    </row>
    <row r="233" spans="5:98" ht="12.75">
      <c r="E233" s="26"/>
      <c r="F233" s="26"/>
      <c r="H233" s="27"/>
      <c r="I233" s="27"/>
      <c r="S233" s="28"/>
      <c r="T233" s="28"/>
      <c r="V233" s="29"/>
      <c r="W233" s="29"/>
      <c r="AB233" s="28"/>
      <c r="CQ233" s="28"/>
      <c r="CR233" s="28"/>
      <c r="CS233" s="28"/>
      <c r="CT233" s="28"/>
    </row>
    <row r="234" spans="5:98" ht="12.75">
      <c r="E234" s="26"/>
      <c r="F234" s="26"/>
      <c r="H234" s="27"/>
      <c r="I234" s="27"/>
      <c r="S234" s="28"/>
      <c r="T234" s="28"/>
      <c r="V234" s="29"/>
      <c r="W234" s="29"/>
      <c r="AB234" s="28"/>
      <c r="CQ234" s="28"/>
      <c r="CR234" s="28"/>
      <c r="CS234" s="28"/>
      <c r="CT234" s="28"/>
    </row>
    <row r="235" spans="5:98" ht="12.75">
      <c r="E235" s="26"/>
      <c r="F235" s="26"/>
      <c r="H235" s="27"/>
      <c r="I235" s="27"/>
      <c r="S235" s="28"/>
      <c r="T235" s="28"/>
      <c r="V235" s="29"/>
      <c r="W235" s="29"/>
      <c r="AB235" s="28"/>
      <c r="CQ235" s="28"/>
      <c r="CR235" s="28"/>
      <c r="CS235" s="28"/>
      <c r="CT235" s="28"/>
    </row>
    <row r="236" spans="5:98" ht="12.75">
      <c r="E236" s="26"/>
      <c r="F236" s="26"/>
      <c r="H236" s="27"/>
      <c r="I236" s="27"/>
      <c r="S236" s="28"/>
      <c r="T236" s="28"/>
      <c r="V236" s="29"/>
      <c r="W236" s="29"/>
      <c r="AB236" s="28"/>
      <c r="CQ236" s="28"/>
      <c r="CR236" s="28"/>
      <c r="CS236" s="28"/>
      <c r="CT236" s="28"/>
    </row>
    <row r="237" spans="5:98" ht="12.75">
      <c r="E237" s="26"/>
      <c r="F237" s="26"/>
      <c r="H237" s="27"/>
      <c r="I237" s="27"/>
      <c r="S237" s="28"/>
      <c r="T237" s="28"/>
      <c r="V237" s="29"/>
      <c r="W237" s="29"/>
      <c r="AB237" s="28"/>
      <c r="CQ237" s="28"/>
      <c r="CR237" s="28"/>
      <c r="CS237" s="28"/>
      <c r="CT237" s="28"/>
    </row>
    <row r="238" spans="5:98" ht="12.75">
      <c r="E238" s="26"/>
      <c r="F238" s="26"/>
      <c r="H238" s="27"/>
      <c r="I238" s="27"/>
      <c r="S238" s="28"/>
      <c r="T238" s="28"/>
      <c r="V238" s="29"/>
      <c r="W238" s="29"/>
      <c r="AB238" s="28"/>
      <c r="CQ238" s="28"/>
      <c r="CR238" s="28"/>
      <c r="CS238" s="28"/>
      <c r="CT238" s="28"/>
    </row>
    <row r="239" spans="5:98" ht="12.75">
      <c r="E239" s="26"/>
      <c r="F239" s="26"/>
      <c r="H239" s="27"/>
      <c r="I239" s="27"/>
      <c r="S239" s="28"/>
      <c r="T239" s="28"/>
      <c r="V239" s="29"/>
      <c r="W239" s="29"/>
      <c r="AB239" s="28"/>
      <c r="CQ239" s="28"/>
      <c r="CR239" s="28"/>
      <c r="CS239" s="28"/>
      <c r="CT239" s="28"/>
    </row>
    <row r="240" spans="5:98" ht="12.75">
      <c r="E240" s="26"/>
      <c r="F240" s="26"/>
      <c r="H240" s="27"/>
      <c r="I240" s="27"/>
      <c r="S240" s="28"/>
      <c r="T240" s="28"/>
      <c r="V240" s="29"/>
      <c r="W240" s="29"/>
      <c r="AB240" s="28"/>
      <c r="CQ240" s="28"/>
      <c r="CR240" s="28"/>
      <c r="CS240" s="28"/>
      <c r="CT240" s="28"/>
    </row>
    <row r="241" spans="5:98" ht="12.75">
      <c r="E241" s="26"/>
      <c r="F241" s="26"/>
      <c r="H241" s="27"/>
      <c r="I241" s="27"/>
      <c r="S241" s="28"/>
      <c r="T241" s="28"/>
      <c r="V241" s="29"/>
      <c r="W241" s="29"/>
      <c r="AB241" s="28"/>
      <c r="CQ241" s="28"/>
      <c r="CR241" s="28"/>
      <c r="CS241" s="28"/>
      <c r="CT241" s="28"/>
    </row>
    <row r="242" spans="5:98" ht="12.75">
      <c r="E242" s="26"/>
      <c r="F242" s="26"/>
      <c r="H242" s="27"/>
      <c r="I242" s="27"/>
      <c r="S242" s="28"/>
      <c r="T242" s="28"/>
      <c r="V242" s="29"/>
      <c r="W242" s="29"/>
      <c r="AB242" s="28"/>
      <c r="CQ242" s="28"/>
      <c r="CR242" s="28"/>
      <c r="CS242" s="28"/>
      <c r="CT242" s="28"/>
    </row>
    <row r="243" spans="5:98" ht="12.75">
      <c r="E243" s="26"/>
      <c r="F243" s="26"/>
      <c r="H243" s="27"/>
      <c r="I243" s="27"/>
      <c r="S243" s="28"/>
      <c r="T243" s="28"/>
      <c r="V243" s="29"/>
      <c r="W243" s="29"/>
      <c r="AB243" s="28"/>
      <c r="CQ243" s="28"/>
      <c r="CR243" s="28"/>
      <c r="CS243" s="28"/>
      <c r="CT243" s="28"/>
    </row>
    <row r="244" spans="5:98" ht="12.75">
      <c r="E244" s="26"/>
      <c r="F244" s="26"/>
      <c r="H244" s="27"/>
      <c r="I244" s="27"/>
      <c r="S244" s="28"/>
      <c r="T244" s="28"/>
      <c r="V244" s="29"/>
      <c r="W244" s="29"/>
      <c r="AB244" s="28"/>
      <c r="CQ244" s="28"/>
      <c r="CR244" s="28"/>
      <c r="CS244" s="28"/>
      <c r="CT244" s="28"/>
    </row>
    <row r="245" spans="5:98" ht="12.75">
      <c r="E245" s="26"/>
      <c r="F245" s="26"/>
      <c r="H245" s="27"/>
      <c r="I245" s="27"/>
      <c r="S245" s="28"/>
      <c r="T245" s="28"/>
      <c r="V245" s="29"/>
      <c r="W245" s="29"/>
      <c r="AB245" s="28"/>
      <c r="CQ245" s="28"/>
      <c r="CR245" s="28"/>
      <c r="CS245" s="28"/>
      <c r="CT245" s="28"/>
    </row>
    <row r="246" spans="5:98" ht="12.75">
      <c r="E246" s="26"/>
      <c r="F246" s="26"/>
      <c r="H246" s="27"/>
      <c r="I246" s="27"/>
      <c r="S246" s="28"/>
      <c r="T246" s="28"/>
      <c r="V246" s="29"/>
      <c r="W246" s="29"/>
      <c r="AB246" s="28"/>
      <c r="CQ246" s="28"/>
      <c r="CR246" s="28"/>
      <c r="CS246" s="28"/>
      <c r="CT246" s="28"/>
    </row>
    <row r="247" spans="5:98" ht="12.75">
      <c r="E247" s="26"/>
      <c r="F247" s="26"/>
      <c r="H247" s="27"/>
      <c r="I247" s="27"/>
      <c r="S247" s="28"/>
      <c r="T247" s="28"/>
      <c r="V247" s="29"/>
      <c r="W247" s="29"/>
      <c r="AB247" s="28"/>
      <c r="CQ247" s="28"/>
      <c r="CR247" s="28"/>
      <c r="CS247" s="28"/>
      <c r="CT247" s="28"/>
    </row>
    <row r="248" spans="5:98" ht="12.75">
      <c r="E248" s="26"/>
      <c r="F248" s="26"/>
      <c r="H248" s="27"/>
      <c r="I248" s="27"/>
      <c r="S248" s="28"/>
      <c r="T248" s="28"/>
      <c r="V248" s="29"/>
      <c r="W248" s="29"/>
      <c r="AB248" s="28"/>
      <c r="CQ248" s="28"/>
      <c r="CR248" s="28"/>
      <c r="CS248" s="28"/>
      <c r="CT248" s="28"/>
    </row>
    <row r="249" spans="5:98" ht="12.75">
      <c r="E249" s="26"/>
      <c r="F249" s="26"/>
      <c r="H249" s="27"/>
      <c r="I249" s="27"/>
      <c r="S249" s="28"/>
      <c r="T249" s="28"/>
      <c r="V249" s="29"/>
      <c r="W249" s="29"/>
      <c r="AB249" s="28"/>
      <c r="CQ249" s="28"/>
      <c r="CR249" s="28"/>
      <c r="CS249" s="28"/>
      <c r="CT249" s="28"/>
    </row>
    <row r="250" spans="5:98" ht="12.75">
      <c r="E250" s="26"/>
      <c r="F250" s="26"/>
      <c r="H250" s="27"/>
      <c r="I250" s="27"/>
      <c r="S250" s="28"/>
      <c r="T250" s="28"/>
      <c r="V250" s="29"/>
      <c r="W250" s="29"/>
      <c r="AB250" s="28"/>
      <c r="CQ250" s="28"/>
      <c r="CR250" s="28"/>
      <c r="CS250" s="28"/>
      <c r="CT250" s="28"/>
    </row>
    <row r="251" spans="5:98" ht="12.75">
      <c r="E251" s="26"/>
      <c r="F251" s="26"/>
      <c r="H251" s="27"/>
      <c r="I251" s="27"/>
      <c r="S251" s="28"/>
      <c r="T251" s="28"/>
      <c r="V251" s="29"/>
      <c r="W251" s="29"/>
      <c r="AB251" s="28"/>
      <c r="CQ251" s="28"/>
      <c r="CR251" s="28"/>
      <c r="CS251" s="28"/>
      <c r="CT251" s="28"/>
    </row>
    <row r="252" spans="5:98" ht="12.75">
      <c r="E252" s="26"/>
      <c r="F252" s="26"/>
      <c r="H252" s="27"/>
      <c r="I252" s="27"/>
      <c r="S252" s="28"/>
      <c r="T252" s="28"/>
      <c r="V252" s="29"/>
      <c r="W252" s="29"/>
      <c r="AB252" s="28"/>
      <c r="CQ252" s="28"/>
      <c r="CR252" s="28"/>
      <c r="CS252" s="28"/>
      <c r="CT252" s="28"/>
    </row>
    <row r="253" spans="5:98" ht="12.75">
      <c r="E253" s="26"/>
      <c r="F253" s="26"/>
      <c r="H253" s="27"/>
      <c r="I253" s="27"/>
      <c r="S253" s="28"/>
      <c r="T253" s="28"/>
      <c r="V253" s="29"/>
      <c r="W253" s="29"/>
      <c r="AB253" s="28"/>
      <c r="CQ253" s="28"/>
      <c r="CR253" s="28"/>
      <c r="CS253" s="28"/>
      <c r="CT253" s="28"/>
    </row>
    <row r="254" spans="5:98" ht="12.75">
      <c r="E254" s="26"/>
      <c r="F254" s="26"/>
      <c r="H254" s="27"/>
      <c r="I254" s="27"/>
      <c r="S254" s="28"/>
      <c r="T254" s="28"/>
      <c r="V254" s="29"/>
      <c r="W254" s="29"/>
      <c r="AB254" s="28"/>
      <c r="CQ254" s="28"/>
      <c r="CR254" s="28"/>
      <c r="CS254" s="28"/>
      <c r="CT254" s="28"/>
    </row>
    <row r="255" spans="5:98" ht="12.75">
      <c r="E255" s="26"/>
      <c r="F255" s="26"/>
      <c r="H255" s="27"/>
      <c r="I255" s="27"/>
      <c r="S255" s="28"/>
      <c r="T255" s="28"/>
      <c r="V255" s="29"/>
      <c r="W255" s="29"/>
      <c r="AB255" s="28"/>
      <c r="CQ255" s="28"/>
      <c r="CR255" s="28"/>
      <c r="CS255" s="28"/>
      <c r="CT255" s="28"/>
    </row>
    <row r="256" spans="5:98" ht="12.75">
      <c r="E256" s="26"/>
      <c r="F256" s="26"/>
      <c r="H256" s="27"/>
      <c r="I256" s="27"/>
      <c r="S256" s="28"/>
      <c r="T256" s="28"/>
      <c r="V256" s="29"/>
      <c r="W256" s="29"/>
      <c r="AB256" s="28"/>
      <c r="CQ256" s="28"/>
      <c r="CR256" s="28"/>
      <c r="CS256" s="28"/>
      <c r="CT256" s="28"/>
    </row>
    <row r="257" spans="5:98" ht="12.75">
      <c r="E257" s="26"/>
      <c r="F257" s="26"/>
      <c r="H257" s="27"/>
      <c r="I257" s="27"/>
      <c r="S257" s="28"/>
      <c r="T257" s="28"/>
      <c r="V257" s="29"/>
      <c r="W257" s="29"/>
      <c r="AB257" s="28"/>
      <c r="CQ257" s="28"/>
      <c r="CR257" s="28"/>
      <c r="CS257" s="28"/>
      <c r="CT257" s="28"/>
    </row>
    <row r="258" spans="5:98" ht="12.75">
      <c r="E258" s="26"/>
      <c r="F258" s="26"/>
      <c r="H258" s="27"/>
      <c r="I258" s="27"/>
      <c r="S258" s="28"/>
      <c r="T258" s="28"/>
      <c r="V258" s="29"/>
      <c r="W258" s="29"/>
      <c r="AB258" s="28"/>
      <c r="CQ258" s="28"/>
      <c r="CR258" s="28"/>
      <c r="CS258" s="28"/>
      <c r="CT258" s="28"/>
    </row>
    <row r="259" spans="5:98" ht="12.75">
      <c r="E259" s="26"/>
      <c r="F259" s="26"/>
      <c r="H259" s="27"/>
      <c r="I259" s="27"/>
      <c r="S259" s="28"/>
      <c r="T259" s="28"/>
      <c r="V259" s="29"/>
      <c r="W259" s="29"/>
      <c r="AB259" s="28"/>
      <c r="CQ259" s="28"/>
      <c r="CR259" s="28"/>
      <c r="CS259" s="28"/>
      <c r="CT259" s="28"/>
    </row>
    <row r="260" spans="5:98" ht="12.75">
      <c r="E260" s="26"/>
      <c r="F260" s="26"/>
      <c r="H260" s="27"/>
      <c r="I260" s="27"/>
      <c r="S260" s="28"/>
      <c r="T260" s="28"/>
      <c r="V260" s="29"/>
      <c r="W260" s="29"/>
      <c r="AB260" s="28"/>
      <c r="CQ260" s="28"/>
      <c r="CR260" s="28"/>
      <c r="CS260" s="28"/>
      <c r="CT260" s="28"/>
    </row>
    <row r="261" spans="5:98" ht="12.75">
      <c r="E261" s="26"/>
      <c r="F261" s="26"/>
      <c r="H261" s="27"/>
      <c r="I261" s="27"/>
      <c r="S261" s="28"/>
      <c r="T261" s="28"/>
      <c r="V261" s="29"/>
      <c r="W261" s="29"/>
      <c r="AB261" s="28"/>
      <c r="CQ261" s="28"/>
      <c r="CR261" s="28"/>
      <c r="CS261" s="28"/>
      <c r="CT261" s="28"/>
    </row>
    <row r="262" spans="5:97" ht="12.75">
      <c r="E262" s="26"/>
      <c r="F262" s="26"/>
      <c r="H262" s="27"/>
      <c r="I262" s="27"/>
      <c r="S262" s="28"/>
      <c r="T262" s="28"/>
      <c r="V262" s="29"/>
      <c r="W262" s="29"/>
      <c r="AB262" s="28"/>
      <c r="CQ262" s="28"/>
      <c r="CR262" s="28"/>
      <c r="CS262" s="28"/>
    </row>
    <row r="263" spans="5:98" ht="12.75">
      <c r="E263" s="26"/>
      <c r="F263" s="26"/>
      <c r="H263" s="27"/>
      <c r="I263" s="27"/>
      <c r="S263" s="28"/>
      <c r="T263" s="28"/>
      <c r="V263" s="29"/>
      <c r="W263" s="29"/>
      <c r="AB263" s="28"/>
      <c r="CQ263" s="28"/>
      <c r="CR263" s="28"/>
      <c r="CS263" s="28"/>
      <c r="CT263" s="28"/>
    </row>
    <row r="264" spans="5:98" ht="12.75">
      <c r="E264" s="26"/>
      <c r="F264" s="26"/>
      <c r="H264" s="27"/>
      <c r="I264" s="27"/>
      <c r="S264" s="28"/>
      <c r="T264" s="28"/>
      <c r="V264" s="29"/>
      <c r="W264" s="29"/>
      <c r="AB264" s="28"/>
      <c r="CQ264" s="28"/>
      <c r="CR264" s="28"/>
      <c r="CS264" s="28"/>
      <c r="CT264" s="28"/>
    </row>
    <row r="265" spans="5:98" ht="12.75">
      <c r="E265" s="26"/>
      <c r="F265" s="26"/>
      <c r="H265" s="27"/>
      <c r="I265" s="27"/>
      <c r="S265" s="28"/>
      <c r="T265" s="28"/>
      <c r="V265" s="29"/>
      <c r="W265" s="29"/>
      <c r="AB265" s="28"/>
      <c r="CQ265" s="28"/>
      <c r="CR265" s="28"/>
      <c r="CS265" s="28"/>
      <c r="CT265" s="28"/>
    </row>
    <row r="266" spans="5:98" ht="12.75">
      <c r="E266" s="26"/>
      <c r="F266" s="26"/>
      <c r="H266" s="27"/>
      <c r="I266" s="27"/>
      <c r="S266" s="28"/>
      <c r="T266" s="28"/>
      <c r="V266" s="29"/>
      <c r="W266" s="29"/>
      <c r="AB266" s="28"/>
      <c r="CQ266" s="28"/>
      <c r="CR266" s="28"/>
      <c r="CS266" s="28"/>
      <c r="CT266" s="28"/>
    </row>
    <row r="267" spans="5:98" ht="12.75">
      <c r="E267" s="26"/>
      <c r="F267" s="26"/>
      <c r="H267" s="27"/>
      <c r="I267" s="27"/>
      <c r="S267" s="28"/>
      <c r="T267" s="28"/>
      <c r="V267" s="29"/>
      <c r="W267" s="29"/>
      <c r="AB267" s="28"/>
      <c r="CQ267" s="28"/>
      <c r="CR267" s="28"/>
      <c r="CS267" s="28"/>
      <c r="CT267" s="28"/>
    </row>
    <row r="268" spans="5:98" ht="12.75">
      <c r="E268" s="26"/>
      <c r="F268" s="26"/>
      <c r="H268" s="27"/>
      <c r="I268" s="27"/>
      <c r="S268" s="28"/>
      <c r="T268" s="28"/>
      <c r="V268" s="29"/>
      <c r="W268" s="29"/>
      <c r="AB268" s="28"/>
      <c r="CQ268" s="28"/>
      <c r="CR268" s="28"/>
      <c r="CS268" s="28"/>
      <c r="CT268" s="28"/>
    </row>
    <row r="269" spans="5:98" ht="12.75">
      <c r="E269" s="26"/>
      <c r="F269" s="26"/>
      <c r="H269" s="27"/>
      <c r="I269" s="27"/>
      <c r="S269" s="28"/>
      <c r="T269" s="28"/>
      <c r="V269" s="29"/>
      <c r="W269" s="29"/>
      <c r="AB269" s="28"/>
      <c r="CQ269" s="28"/>
      <c r="CR269" s="28"/>
      <c r="CS269" s="28"/>
      <c r="CT269" s="28"/>
    </row>
    <row r="270" spans="5:98" ht="12.75">
      <c r="E270" s="26"/>
      <c r="F270" s="26"/>
      <c r="H270" s="27"/>
      <c r="I270" s="27"/>
      <c r="S270" s="28"/>
      <c r="T270" s="28"/>
      <c r="V270" s="29"/>
      <c r="W270" s="29"/>
      <c r="AB270" s="28"/>
      <c r="CQ270" s="28"/>
      <c r="CR270" s="28"/>
      <c r="CS270" s="28"/>
      <c r="CT270" s="28"/>
    </row>
    <row r="271" spans="5:98" ht="12.75">
      <c r="E271" s="26"/>
      <c r="F271" s="26"/>
      <c r="H271" s="27"/>
      <c r="I271" s="27"/>
      <c r="S271" s="28"/>
      <c r="T271" s="28"/>
      <c r="V271" s="29"/>
      <c r="W271" s="29"/>
      <c r="AB271" s="28"/>
      <c r="CQ271" s="28"/>
      <c r="CR271" s="28"/>
      <c r="CS271" s="28"/>
      <c r="CT271" s="28"/>
    </row>
    <row r="272" spans="5:98" ht="12.75">
      <c r="E272" s="26"/>
      <c r="F272" s="26"/>
      <c r="H272" s="27"/>
      <c r="I272" s="27"/>
      <c r="S272" s="28"/>
      <c r="T272" s="28"/>
      <c r="V272" s="29"/>
      <c r="W272" s="29"/>
      <c r="AB272" s="28"/>
      <c r="CQ272" s="28"/>
      <c r="CR272" s="28"/>
      <c r="CS272" s="28"/>
      <c r="CT272" s="28"/>
    </row>
    <row r="273" spans="5:98" ht="12.75">
      <c r="E273" s="26"/>
      <c r="F273" s="26"/>
      <c r="H273" s="27"/>
      <c r="I273" s="27"/>
      <c r="S273" s="28"/>
      <c r="T273" s="28"/>
      <c r="V273" s="29"/>
      <c r="W273" s="29"/>
      <c r="AB273" s="28"/>
      <c r="CQ273" s="28"/>
      <c r="CR273" s="28"/>
      <c r="CS273" s="28"/>
      <c r="CT273" s="28"/>
    </row>
    <row r="274" spans="5:98" ht="12.75">
      <c r="E274" s="26"/>
      <c r="F274" s="26"/>
      <c r="H274" s="27"/>
      <c r="I274" s="27"/>
      <c r="S274" s="28"/>
      <c r="T274" s="28"/>
      <c r="V274" s="29"/>
      <c r="W274" s="29"/>
      <c r="AB274" s="28"/>
      <c r="CQ274" s="28"/>
      <c r="CR274" s="28"/>
      <c r="CS274" s="28"/>
      <c r="CT274" s="28"/>
    </row>
    <row r="275" spans="5:98" ht="12.75">
      <c r="E275" s="26"/>
      <c r="F275" s="26"/>
      <c r="H275" s="27"/>
      <c r="I275" s="27"/>
      <c r="S275" s="28"/>
      <c r="T275" s="28"/>
      <c r="V275" s="29"/>
      <c r="W275" s="29"/>
      <c r="AB275" s="28"/>
      <c r="CQ275" s="28"/>
      <c r="CR275" s="28"/>
      <c r="CS275" s="28"/>
      <c r="CT275" s="28"/>
    </row>
    <row r="276" spans="5:98" ht="12.75">
      <c r="E276" s="26"/>
      <c r="F276" s="26"/>
      <c r="H276" s="27"/>
      <c r="I276" s="27"/>
      <c r="S276" s="28"/>
      <c r="T276" s="28"/>
      <c r="V276" s="29"/>
      <c r="W276" s="29"/>
      <c r="AB276" s="28"/>
      <c r="CQ276" s="28"/>
      <c r="CR276" s="28"/>
      <c r="CS276" s="28"/>
      <c r="CT276" s="28"/>
    </row>
    <row r="277" spans="5:98" ht="12.75">
      <c r="E277" s="26"/>
      <c r="F277" s="26"/>
      <c r="H277" s="27"/>
      <c r="I277" s="27"/>
      <c r="S277" s="28"/>
      <c r="T277" s="28"/>
      <c r="V277" s="29"/>
      <c r="W277" s="29"/>
      <c r="AB277" s="28"/>
      <c r="CQ277" s="28"/>
      <c r="CR277" s="28"/>
      <c r="CS277" s="28"/>
      <c r="CT277" s="28"/>
    </row>
    <row r="278" spans="5:98" ht="12.75">
      <c r="E278" s="26"/>
      <c r="F278" s="26"/>
      <c r="H278" s="27"/>
      <c r="I278" s="27"/>
      <c r="S278" s="28"/>
      <c r="T278" s="28"/>
      <c r="V278" s="29"/>
      <c r="W278" s="29"/>
      <c r="AB278" s="28"/>
      <c r="CQ278" s="28"/>
      <c r="CR278" s="28"/>
      <c r="CS278" s="28"/>
      <c r="CT278" s="28"/>
    </row>
    <row r="279" spans="5:98" ht="12.75">
      <c r="E279" s="26"/>
      <c r="F279" s="26"/>
      <c r="H279" s="27"/>
      <c r="I279" s="27"/>
      <c r="S279" s="28"/>
      <c r="T279" s="28"/>
      <c r="V279" s="29"/>
      <c r="W279" s="29"/>
      <c r="AB279" s="28"/>
      <c r="CQ279" s="28"/>
      <c r="CR279" s="28"/>
      <c r="CS279" s="28"/>
      <c r="CT279" s="28"/>
    </row>
    <row r="280" spans="5:98" ht="12.75">
      <c r="E280" s="26"/>
      <c r="F280" s="26"/>
      <c r="H280" s="27"/>
      <c r="I280" s="27"/>
      <c r="S280" s="28"/>
      <c r="T280" s="28"/>
      <c r="V280" s="29"/>
      <c r="W280" s="29"/>
      <c r="AB280" s="28"/>
      <c r="CQ280" s="28"/>
      <c r="CR280" s="28"/>
      <c r="CS280" s="28"/>
      <c r="CT280" s="28"/>
    </row>
    <row r="281" spans="5:98" ht="12.75">
      <c r="E281" s="26"/>
      <c r="F281" s="26"/>
      <c r="H281" s="27"/>
      <c r="I281" s="27"/>
      <c r="S281" s="28"/>
      <c r="T281" s="28"/>
      <c r="V281" s="29"/>
      <c r="W281" s="29"/>
      <c r="AB281" s="28"/>
      <c r="CQ281" s="28"/>
      <c r="CR281" s="28"/>
      <c r="CS281" s="28"/>
      <c r="CT281" s="28"/>
    </row>
    <row r="282" spans="5:98" ht="12.75">
      <c r="E282" s="26"/>
      <c r="F282" s="26"/>
      <c r="H282" s="27"/>
      <c r="I282" s="27"/>
      <c r="S282" s="28"/>
      <c r="T282" s="28"/>
      <c r="V282" s="29"/>
      <c r="W282" s="29"/>
      <c r="AB282" s="28"/>
      <c r="CQ282" s="28"/>
      <c r="CR282" s="28"/>
      <c r="CS282" s="28"/>
      <c r="CT282" s="28"/>
    </row>
    <row r="283" spans="5:98" ht="12.75">
      <c r="E283" s="26"/>
      <c r="F283" s="26"/>
      <c r="H283" s="27"/>
      <c r="I283" s="27"/>
      <c r="S283" s="28"/>
      <c r="T283" s="28"/>
      <c r="V283" s="29"/>
      <c r="W283" s="29"/>
      <c r="AB283" s="28"/>
      <c r="CQ283" s="28"/>
      <c r="CR283" s="28"/>
      <c r="CS283" s="28"/>
      <c r="CT283" s="28"/>
    </row>
    <row r="284" spans="5:98" ht="12.75">
      <c r="E284" s="26"/>
      <c r="F284" s="26"/>
      <c r="H284" s="27"/>
      <c r="I284" s="27"/>
      <c r="S284" s="28"/>
      <c r="T284" s="28"/>
      <c r="V284" s="29"/>
      <c r="W284" s="29"/>
      <c r="AB284" s="28"/>
      <c r="CQ284" s="28"/>
      <c r="CR284" s="28"/>
      <c r="CS284" s="28"/>
      <c r="CT284" s="28"/>
    </row>
    <row r="285" spans="5:98" ht="12.75">
      <c r="E285" s="26"/>
      <c r="F285" s="26"/>
      <c r="H285" s="27"/>
      <c r="I285" s="27"/>
      <c r="S285" s="28"/>
      <c r="T285" s="28"/>
      <c r="V285" s="29"/>
      <c r="W285" s="29"/>
      <c r="AB285" s="28"/>
      <c r="CQ285" s="28"/>
      <c r="CR285" s="28"/>
      <c r="CS285" s="28"/>
      <c r="CT285" s="28"/>
    </row>
    <row r="286" spans="5:98" ht="12.75">
      <c r="E286" s="26"/>
      <c r="F286" s="26"/>
      <c r="H286" s="27"/>
      <c r="I286" s="27"/>
      <c r="S286" s="28"/>
      <c r="T286" s="28"/>
      <c r="V286" s="29"/>
      <c r="W286" s="29"/>
      <c r="AB286" s="28"/>
      <c r="CQ286" s="28"/>
      <c r="CR286" s="28"/>
      <c r="CS286" s="28"/>
      <c r="CT286" s="28"/>
    </row>
    <row r="287" spans="5:98" ht="12.75">
      <c r="E287" s="26"/>
      <c r="F287" s="26"/>
      <c r="H287" s="27"/>
      <c r="I287" s="27"/>
      <c r="S287" s="28"/>
      <c r="T287" s="28"/>
      <c r="V287" s="29"/>
      <c r="W287" s="29"/>
      <c r="AB287" s="28"/>
      <c r="CQ287" s="28"/>
      <c r="CR287" s="28"/>
      <c r="CS287" s="28"/>
      <c r="CT287" s="28"/>
    </row>
    <row r="288" spans="5:98" ht="12.75">
      <c r="E288" s="26"/>
      <c r="F288" s="26"/>
      <c r="H288" s="27"/>
      <c r="I288" s="27"/>
      <c r="S288" s="28"/>
      <c r="T288" s="28"/>
      <c r="V288" s="29"/>
      <c r="W288" s="29"/>
      <c r="AB288" s="28"/>
      <c r="CQ288" s="28"/>
      <c r="CR288" s="28"/>
      <c r="CS288" s="28"/>
      <c r="CT288" s="28"/>
    </row>
    <row r="289" spans="5:98" ht="12.75">
      <c r="E289" s="26"/>
      <c r="F289" s="26"/>
      <c r="H289" s="27"/>
      <c r="I289" s="27"/>
      <c r="S289" s="28"/>
      <c r="T289" s="28"/>
      <c r="V289" s="29"/>
      <c r="W289" s="29"/>
      <c r="AB289" s="28"/>
      <c r="CQ289" s="28"/>
      <c r="CR289" s="28"/>
      <c r="CS289" s="28"/>
      <c r="CT289" s="28"/>
    </row>
    <row r="290" spans="5:98" ht="12.75">
      <c r="E290" s="26"/>
      <c r="F290" s="26"/>
      <c r="H290" s="27"/>
      <c r="I290" s="27"/>
      <c r="S290" s="28"/>
      <c r="T290" s="28"/>
      <c r="V290" s="29"/>
      <c r="W290" s="29"/>
      <c r="AB290" s="28"/>
      <c r="CQ290" s="28"/>
      <c r="CR290" s="28"/>
      <c r="CS290" s="28"/>
      <c r="CT290" s="28"/>
    </row>
    <row r="291" spans="5:98" ht="12.75">
      <c r="E291" s="26"/>
      <c r="F291" s="26"/>
      <c r="H291" s="27"/>
      <c r="I291" s="27"/>
      <c r="S291" s="28"/>
      <c r="T291" s="28"/>
      <c r="V291" s="29"/>
      <c r="W291" s="29"/>
      <c r="AB291" s="28"/>
      <c r="CQ291" s="28"/>
      <c r="CR291" s="28"/>
      <c r="CS291" s="28"/>
      <c r="CT291" s="28"/>
    </row>
    <row r="292" spans="5:98" ht="12.75">
      <c r="E292" s="26"/>
      <c r="F292" s="26"/>
      <c r="H292" s="27"/>
      <c r="I292" s="27"/>
      <c r="S292" s="28"/>
      <c r="T292" s="28"/>
      <c r="V292" s="29"/>
      <c r="W292" s="29"/>
      <c r="AB292" s="28"/>
      <c r="CQ292" s="28"/>
      <c r="CR292" s="28"/>
      <c r="CS292" s="28"/>
      <c r="CT292" s="28"/>
    </row>
    <row r="293" spans="5:98" ht="12.75">
      <c r="E293" s="26"/>
      <c r="F293" s="26"/>
      <c r="H293" s="27"/>
      <c r="I293" s="27"/>
      <c r="S293" s="28"/>
      <c r="T293" s="28"/>
      <c r="V293" s="29"/>
      <c r="W293" s="29"/>
      <c r="AB293" s="28"/>
      <c r="CQ293" s="28"/>
      <c r="CR293" s="28"/>
      <c r="CS293" s="28"/>
      <c r="CT293" s="28"/>
    </row>
    <row r="294" spans="5:98" ht="12.75">
      <c r="E294" s="26"/>
      <c r="F294" s="26"/>
      <c r="H294" s="27"/>
      <c r="I294" s="27"/>
      <c r="S294" s="28"/>
      <c r="T294" s="28"/>
      <c r="V294" s="29"/>
      <c r="W294" s="29"/>
      <c r="AB294" s="28"/>
      <c r="CQ294" s="28"/>
      <c r="CR294" s="28"/>
      <c r="CS294" s="28"/>
      <c r="CT294" s="28"/>
    </row>
    <row r="295" spans="5:98" ht="12.75">
      <c r="E295" s="26"/>
      <c r="F295" s="26"/>
      <c r="H295" s="27"/>
      <c r="I295" s="27"/>
      <c r="S295" s="28"/>
      <c r="T295" s="28"/>
      <c r="V295" s="29"/>
      <c r="W295" s="29"/>
      <c r="AB295" s="28"/>
      <c r="CQ295" s="28"/>
      <c r="CR295" s="28"/>
      <c r="CS295" s="28"/>
      <c r="CT295" s="28"/>
    </row>
    <row r="296" spans="5:98" ht="12.75">
      <c r="E296" s="26"/>
      <c r="F296" s="26"/>
      <c r="H296" s="27"/>
      <c r="I296" s="27"/>
      <c r="S296" s="28"/>
      <c r="T296" s="28"/>
      <c r="V296" s="29"/>
      <c r="W296" s="29"/>
      <c r="AB296" s="28"/>
      <c r="CQ296" s="28"/>
      <c r="CR296" s="28"/>
      <c r="CS296" s="28"/>
      <c r="CT296" s="28"/>
    </row>
    <row r="297" spans="5:98" ht="12.75">
      <c r="E297" s="26"/>
      <c r="F297" s="26"/>
      <c r="H297" s="27"/>
      <c r="I297" s="27"/>
      <c r="S297" s="28"/>
      <c r="T297" s="28"/>
      <c r="V297" s="29"/>
      <c r="W297" s="29"/>
      <c r="AB297" s="28"/>
      <c r="CQ297" s="28"/>
      <c r="CR297" s="28"/>
      <c r="CS297" s="28"/>
      <c r="CT297" s="28"/>
    </row>
    <row r="298" spans="5:98" ht="12.75">
      <c r="E298" s="26"/>
      <c r="F298" s="26"/>
      <c r="H298" s="27"/>
      <c r="I298" s="27"/>
      <c r="S298" s="28"/>
      <c r="T298" s="28"/>
      <c r="V298" s="29"/>
      <c r="W298" s="29"/>
      <c r="AB298" s="28"/>
      <c r="CQ298" s="28"/>
      <c r="CR298" s="28"/>
      <c r="CS298" s="28"/>
      <c r="CT298" s="28"/>
    </row>
    <row r="299" spans="5:98" ht="12.75">
      <c r="E299" s="26"/>
      <c r="F299" s="26"/>
      <c r="H299" s="27"/>
      <c r="I299" s="27"/>
      <c r="S299" s="28"/>
      <c r="T299" s="28"/>
      <c r="V299" s="29"/>
      <c r="W299" s="29"/>
      <c r="AB299" s="28"/>
      <c r="CQ299" s="28"/>
      <c r="CR299" s="28"/>
      <c r="CS299" s="28"/>
      <c r="CT299" s="28"/>
    </row>
    <row r="300" spans="5:98" ht="12.75">
      <c r="E300" s="26"/>
      <c r="F300" s="26"/>
      <c r="H300" s="27"/>
      <c r="I300" s="27"/>
      <c r="S300" s="28"/>
      <c r="T300" s="28"/>
      <c r="V300" s="29"/>
      <c r="W300" s="29"/>
      <c r="AB300" s="28"/>
      <c r="CQ300" s="28"/>
      <c r="CR300" s="28"/>
      <c r="CS300" s="28"/>
      <c r="CT300" s="28"/>
    </row>
    <row r="301" spans="5:98" ht="12.75">
      <c r="E301" s="26"/>
      <c r="F301" s="26"/>
      <c r="H301" s="27"/>
      <c r="I301" s="27"/>
      <c r="S301" s="28"/>
      <c r="T301" s="28"/>
      <c r="V301" s="29"/>
      <c r="W301" s="29"/>
      <c r="AB301" s="28"/>
      <c r="CQ301" s="28"/>
      <c r="CR301" s="28"/>
      <c r="CS301" s="28"/>
      <c r="CT301" s="28"/>
    </row>
    <row r="302" spans="5:98" ht="12.75">
      <c r="E302" s="26"/>
      <c r="F302" s="26"/>
      <c r="H302" s="27"/>
      <c r="I302" s="27"/>
      <c r="S302" s="28"/>
      <c r="T302" s="28"/>
      <c r="V302" s="29"/>
      <c r="W302" s="29"/>
      <c r="AB302" s="28"/>
      <c r="CQ302" s="28"/>
      <c r="CR302" s="28"/>
      <c r="CS302" s="28"/>
      <c r="CT302" s="28"/>
    </row>
    <row r="303" spans="5:98" ht="12.75">
      <c r="E303" s="26"/>
      <c r="F303" s="26"/>
      <c r="H303" s="27"/>
      <c r="I303" s="27"/>
      <c r="S303" s="28"/>
      <c r="T303" s="28"/>
      <c r="V303" s="29"/>
      <c r="W303" s="29"/>
      <c r="AB303" s="28"/>
      <c r="CQ303" s="28"/>
      <c r="CR303" s="28"/>
      <c r="CS303" s="28"/>
      <c r="CT303" s="28"/>
    </row>
    <row r="304" spans="5:98" ht="12.75">
      <c r="E304" s="26"/>
      <c r="F304" s="26"/>
      <c r="H304" s="27"/>
      <c r="I304" s="27"/>
      <c r="S304" s="28"/>
      <c r="T304" s="28"/>
      <c r="V304" s="29"/>
      <c r="W304" s="29"/>
      <c r="AB304" s="28"/>
      <c r="CQ304" s="28"/>
      <c r="CR304" s="28"/>
      <c r="CS304" s="28"/>
      <c r="CT304" s="28"/>
    </row>
    <row r="305" spans="5:98" ht="12.75">
      <c r="E305" s="26"/>
      <c r="F305" s="26"/>
      <c r="H305" s="27"/>
      <c r="I305" s="27"/>
      <c r="S305" s="28"/>
      <c r="T305" s="28"/>
      <c r="V305" s="29"/>
      <c r="W305" s="29"/>
      <c r="AB305" s="28"/>
      <c r="CQ305" s="28"/>
      <c r="CR305" s="28"/>
      <c r="CS305" s="28"/>
      <c r="CT305" s="28"/>
    </row>
    <row r="306" spans="5:98" ht="12.75">
      <c r="E306" s="26"/>
      <c r="F306" s="26"/>
      <c r="H306" s="27"/>
      <c r="I306" s="27"/>
      <c r="S306" s="28"/>
      <c r="T306" s="28"/>
      <c r="V306" s="29"/>
      <c r="W306" s="29"/>
      <c r="AB306" s="28"/>
      <c r="CQ306" s="28"/>
      <c r="CR306" s="28"/>
      <c r="CS306" s="28"/>
      <c r="CT306" s="28"/>
    </row>
    <row r="307" spans="5:98" ht="12.75">
      <c r="E307" s="26"/>
      <c r="F307" s="26"/>
      <c r="H307" s="27"/>
      <c r="I307" s="27"/>
      <c r="S307" s="28"/>
      <c r="T307" s="28"/>
      <c r="V307" s="29"/>
      <c r="W307" s="29"/>
      <c r="AB307" s="28"/>
      <c r="CQ307" s="28"/>
      <c r="CR307" s="28"/>
      <c r="CS307" s="28"/>
      <c r="CT307" s="28"/>
    </row>
    <row r="308" spans="5:98" ht="12.75">
      <c r="E308" s="26"/>
      <c r="F308" s="26"/>
      <c r="H308" s="27"/>
      <c r="I308" s="27"/>
      <c r="S308" s="28"/>
      <c r="T308" s="28"/>
      <c r="V308" s="29"/>
      <c r="W308" s="29"/>
      <c r="AB308" s="28"/>
      <c r="CQ308" s="28"/>
      <c r="CR308" s="28"/>
      <c r="CS308" s="28"/>
      <c r="CT308" s="28"/>
    </row>
    <row r="309" spans="5:98" ht="12.75">
      <c r="E309" s="26"/>
      <c r="F309" s="26"/>
      <c r="H309" s="27"/>
      <c r="I309" s="27"/>
      <c r="S309" s="28"/>
      <c r="T309" s="28"/>
      <c r="V309" s="29"/>
      <c r="W309" s="29"/>
      <c r="AB309" s="28"/>
      <c r="CQ309" s="28"/>
      <c r="CR309" s="28"/>
      <c r="CS309" s="28"/>
      <c r="CT309" s="28"/>
    </row>
    <row r="310" spans="5:98" ht="12.75">
      <c r="E310" s="26"/>
      <c r="F310" s="26"/>
      <c r="G310" s="28"/>
      <c r="H310" s="27"/>
      <c r="I310" s="27"/>
      <c r="J310" s="28"/>
      <c r="K310" s="28"/>
      <c r="L310" s="28"/>
      <c r="O310" s="28"/>
      <c r="P310" s="28"/>
      <c r="Q310" s="28"/>
      <c r="R310" s="28"/>
      <c r="S310" s="28"/>
      <c r="T310" s="28"/>
      <c r="U310" s="28"/>
      <c r="V310" s="28"/>
      <c r="W310" s="28"/>
      <c r="AB310" s="28"/>
      <c r="AC310" s="28"/>
      <c r="AD310" s="28"/>
      <c r="AE310" s="28"/>
      <c r="AG310" s="28"/>
      <c r="AH310" s="28"/>
      <c r="AI310" s="28"/>
      <c r="AJ310" s="28"/>
      <c r="AK310" s="28"/>
      <c r="CP310" s="28"/>
      <c r="CQ310" s="28"/>
      <c r="CR310" s="28"/>
      <c r="CS310" s="28"/>
      <c r="CT310" s="28"/>
    </row>
    <row r="311" spans="5:98" ht="12.75">
      <c r="E311" s="26"/>
      <c r="F311" s="26"/>
      <c r="H311" s="27"/>
      <c r="I311" s="27"/>
      <c r="S311" s="28"/>
      <c r="T311" s="28"/>
      <c r="V311" s="29"/>
      <c r="W311" s="29"/>
      <c r="AB311" s="28"/>
      <c r="CQ311" s="28"/>
      <c r="CR311" s="28"/>
      <c r="CS311" s="28"/>
      <c r="CT311" s="28"/>
    </row>
    <row r="312" spans="5:98" ht="12.75">
      <c r="E312" s="26"/>
      <c r="F312" s="26"/>
      <c r="H312" s="27"/>
      <c r="I312" s="27"/>
      <c r="S312" s="28"/>
      <c r="T312" s="28"/>
      <c r="V312" s="29"/>
      <c r="W312" s="29"/>
      <c r="AB312" s="28"/>
      <c r="CQ312" s="28"/>
      <c r="CR312" s="28"/>
      <c r="CS312" s="28"/>
      <c r="CT312" s="28"/>
    </row>
    <row r="313" spans="5:98" ht="12.75">
      <c r="E313" s="26"/>
      <c r="F313" s="26"/>
      <c r="H313" s="27"/>
      <c r="I313" s="27"/>
      <c r="S313" s="28"/>
      <c r="T313" s="28"/>
      <c r="V313" s="29"/>
      <c r="W313" s="29"/>
      <c r="AB313" s="28"/>
      <c r="CQ313" s="28"/>
      <c r="CR313" s="28"/>
      <c r="CS313" s="28"/>
      <c r="CT313" s="28"/>
    </row>
    <row r="314" spans="5:98" ht="12.75">
      <c r="E314" s="26"/>
      <c r="F314" s="26"/>
      <c r="H314" s="27"/>
      <c r="I314" s="27"/>
      <c r="S314" s="28"/>
      <c r="T314" s="28"/>
      <c r="V314" s="29"/>
      <c r="W314" s="29"/>
      <c r="AB314" s="28"/>
      <c r="CQ314" s="28"/>
      <c r="CR314" s="28"/>
      <c r="CS314" s="28"/>
      <c r="CT314" s="28"/>
    </row>
    <row r="315" spans="5:98" ht="12.75">
      <c r="E315" s="26"/>
      <c r="F315" s="26"/>
      <c r="H315" s="27"/>
      <c r="I315" s="27"/>
      <c r="S315" s="28"/>
      <c r="T315" s="28"/>
      <c r="V315" s="29"/>
      <c r="W315" s="29"/>
      <c r="AB315" s="28"/>
      <c r="CQ315" s="28"/>
      <c r="CR315" s="28"/>
      <c r="CS315" s="28"/>
      <c r="CT315" s="28"/>
    </row>
    <row r="316" spans="5:98" ht="12.75">
      <c r="E316" s="26"/>
      <c r="F316" s="26"/>
      <c r="H316" s="27"/>
      <c r="I316" s="27"/>
      <c r="S316" s="28"/>
      <c r="T316" s="28"/>
      <c r="V316" s="29"/>
      <c r="W316" s="29"/>
      <c r="AB316" s="28"/>
      <c r="CQ316" s="28"/>
      <c r="CR316" s="28"/>
      <c r="CS316" s="28"/>
      <c r="CT316" s="28"/>
    </row>
    <row r="317" spans="5:98" ht="12.75">
      <c r="E317" s="26"/>
      <c r="F317" s="26"/>
      <c r="H317" s="27"/>
      <c r="I317" s="27"/>
      <c r="S317" s="28"/>
      <c r="T317" s="28"/>
      <c r="V317" s="29"/>
      <c r="W317" s="29"/>
      <c r="AB317" s="28"/>
      <c r="CQ317" s="28"/>
      <c r="CR317" s="28"/>
      <c r="CS317" s="28"/>
      <c r="CT317" s="28"/>
    </row>
    <row r="318" spans="5:98" ht="12.75">
      <c r="E318" s="26"/>
      <c r="F318" s="26"/>
      <c r="H318" s="27"/>
      <c r="I318" s="27"/>
      <c r="S318" s="28"/>
      <c r="T318" s="28"/>
      <c r="V318" s="29"/>
      <c r="W318" s="29"/>
      <c r="AB318" s="28"/>
      <c r="CQ318" s="28"/>
      <c r="CR318" s="28"/>
      <c r="CS318" s="28"/>
      <c r="CT318" s="28"/>
    </row>
    <row r="319" spans="5:98" ht="12.75">
      <c r="E319" s="26"/>
      <c r="F319" s="26"/>
      <c r="H319" s="27"/>
      <c r="I319" s="27"/>
      <c r="S319" s="28"/>
      <c r="T319" s="28"/>
      <c r="V319" s="29"/>
      <c r="W319" s="29"/>
      <c r="AB319" s="28"/>
      <c r="CQ319" s="28"/>
      <c r="CR319" s="28"/>
      <c r="CS319" s="28"/>
      <c r="CT319" s="28"/>
    </row>
    <row r="320" spans="5:98" ht="12.75">
      <c r="E320" s="26"/>
      <c r="F320" s="26"/>
      <c r="H320" s="27"/>
      <c r="I320" s="27"/>
      <c r="S320" s="28"/>
      <c r="T320" s="28"/>
      <c r="V320" s="29"/>
      <c r="W320" s="29"/>
      <c r="AB320" s="28"/>
      <c r="CQ320" s="28"/>
      <c r="CR320" s="28"/>
      <c r="CS320" s="28"/>
      <c r="CT320" s="28"/>
    </row>
    <row r="321" spans="5:98" ht="12.75">
      <c r="E321" s="26"/>
      <c r="F321" s="26"/>
      <c r="H321" s="27"/>
      <c r="I321" s="27"/>
      <c r="S321" s="28"/>
      <c r="T321" s="28"/>
      <c r="V321" s="29"/>
      <c r="W321" s="29"/>
      <c r="AB321" s="28"/>
      <c r="CQ321" s="28"/>
      <c r="CR321" s="28"/>
      <c r="CS321" s="28"/>
      <c r="CT321" s="28"/>
    </row>
    <row r="322" spans="5:98" ht="12.75">
      <c r="E322" s="26"/>
      <c r="F322" s="26"/>
      <c r="H322" s="27"/>
      <c r="I322" s="27"/>
      <c r="S322" s="28"/>
      <c r="T322" s="28"/>
      <c r="V322" s="29"/>
      <c r="W322" s="29"/>
      <c r="AB322" s="28"/>
      <c r="CQ322" s="28"/>
      <c r="CR322" s="28"/>
      <c r="CS322" s="28"/>
      <c r="CT322" s="28"/>
    </row>
    <row r="323" spans="5:98" ht="12.75">
      <c r="E323" s="26"/>
      <c r="F323" s="26"/>
      <c r="H323" s="27"/>
      <c r="I323" s="27"/>
      <c r="S323" s="28"/>
      <c r="T323" s="28"/>
      <c r="V323" s="29"/>
      <c r="W323" s="29"/>
      <c r="AB323" s="28"/>
      <c r="CQ323" s="28"/>
      <c r="CR323" s="28"/>
      <c r="CS323" s="28"/>
      <c r="CT323" s="28"/>
    </row>
    <row r="324" spans="5:98" ht="12.75">
      <c r="E324" s="26"/>
      <c r="F324" s="26"/>
      <c r="H324" s="27"/>
      <c r="I324" s="27"/>
      <c r="S324" s="28"/>
      <c r="T324" s="28"/>
      <c r="V324" s="29"/>
      <c r="W324" s="29"/>
      <c r="AB324" s="28"/>
      <c r="CQ324" s="28"/>
      <c r="CR324" s="28"/>
      <c r="CS324" s="28"/>
      <c r="CT324" s="28"/>
    </row>
    <row r="325" spans="5:98" ht="12.75">
      <c r="E325" s="26"/>
      <c r="F325" s="26"/>
      <c r="H325" s="27"/>
      <c r="I325" s="27"/>
      <c r="S325" s="28"/>
      <c r="T325" s="28"/>
      <c r="V325" s="29"/>
      <c r="W325" s="29"/>
      <c r="AB325" s="28"/>
      <c r="CQ325" s="28"/>
      <c r="CR325" s="28"/>
      <c r="CS325" s="28"/>
      <c r="CT325" s="28"/>
    </row>
    <row r="326" spans="5:98" ht="12.75">
      <c r="E326" s="26"/>
      <c r="F326" s="26"/>
      <c r="H326" s="27"/>
      <c r="I326" s="27"/>
      <c r="S326" s="28"/>
      <c r="T326" s="28"/>
      <c r="V326" s="29"/>
      <c r="W326" s="29"/>
      <c r="AB326" s="28"/>
      <c r="CQ326" s="28"/>
      <c r="CR326" s="28"/>
      <c r="CS326" s="28"/>
      <c r="CT326" s="28"/>
    </row>
    <row r="327" spans="5:98" ht="12.75">
      <c r="E327" s="26"/>
      <c r="F327" s="26"/>
      <c r="H327" s="27"/>
      <c r="I327" s="27"/>
      <c r="S327" s="28"/>
      <c r="T327" s="28"/>
      <c r="V327" s="29"/>
      <c r="W327" s="29"/>
      <c r="AB327" s="28"/>
      <c r="CQ327" s="28"/>
      <c r="CR327" s="28"/>
      <c r="CS327" s="28"/>
      <c r="CT327" s="28"/>
    </row>
    <row r="328" spans="5:98" ht="12.75">
      <c r="E328" s="26"/>
      <c r="F328" s="26"/>
      <c r="H328" s="27"/>
      <c r="I328" s="27"/>
      <c r="S328" s="28"/>
      <c r="T328" s="28"/>
      <c r="V328" s="29"/>
      <c r="W328" s="29"/>
      <c r="AB328" s="28"/>
      <c r="CQ328" s="28"/>
      <c r="CR328" s="28"/>
      <c r="CS328" s="28"/>
      <c r="CT328" s="28"/>
    </row>
    <row r="329" spans="5:98" ht="12.75">
      <c r="E329" s="26"/>
      <c r="F329" s="26"/>
      <c r="H329" s="27"/>
      <c r="I329" s="27"/>
      <c r="S329" s="28"/>
      <c r="T329" s="28"/>
      <c r="V329" s="29"/>
      <c r="W329" s="29"/>
      <c r="AB329" s="28"/>
      <c r="CQ329" s="28"/>
      <c r="CR329" s="28"/>
      <c r="CS329" s="28"/>
      <c r="CT329" s="28"/>
    </row>
    <row r="330" spans="5:98" ht="12.75">
      <c r="E330" s="26"/>
      <c r="F330" s="26"/>
      <c r="H330" s="27"/>
      <c r="I330" s="27"/>
      <c r="S330" s="28"/>
      <c r="T330" s="28"/>
      <c r="V330" s="29"/>
      <c r="W330" s="29"/>
      <c r="AB330" s="28"/>
      <c r="CQ330" s="28"/>
      <c r="CR330" s="28"/>
      <c r="CS330" s="28"/>
      <c r="CT330" s="28"/>
    </row>
    <row r="331" spans="5:97" ht="12.75">
      <c r="E331" s="26"/>
      <c r="F331" s="26"/>
      <c r="H331" s="27"/>
      <c r="I331" s="27"/>
      <c r="S331" s="28"/>
      <c r="T331" s="28"/>
      <c r="V331" s="29"/>
      <c r="W331" s="29"/>
      <c r="AB331" s="28"/>
      <c r="CQ331" s="28"/>
      <c r="CR331" s="28"/>
      <c r="CS331" s="28"/>
    </row>
    <row r="332" spans="5:98" ht="12.75">
      <c r="E332" s="26"/>
      <c r="F332" s="26"/>
      <c r="H332" s="27"/>
      <c r="I332" s="27"/>
      <c r="S332" s="28"/>
      <c r="T332" s="28"/>
      <c r="V332" s="29"/>
      <c r="W332" s="29"/>
      <c r="AB332" s="28"/>
      <c r="CQ332" s="28"/>
      <c r="CR332" s="28"/>
      <c r="CS332" s="28"/>
      <c r="CT332" s="28"/>
    </row>
    <row r="333" spans="5:98" ht="12.75">
      <c r="E333" s="26"/>
      <c r="F333" s="26"/>
      <c r="H333" s="27"/>
      <c r="I333" s="27"/>
      <c r="S333" s="28"/>
      <c r="T333" s="28"/>
      <c r="V333" s="29"/>
      <c r="W333" s="29"/>
      <c r="AB333" s="28"/>
      <c r="CQ333" s="28"/>
      <c r="CR333" s="28"/>
      <c r="CS333" s="28"/>
      <c r="CT333" s="28"/>
    </row>
    <row r="334" spans="5:98" ht="12.75">
      <c r="E334" s="26"/>
      <c r="F334" s="26"/>
      <c r="H334" s="27"/>
      <c r="I334" s="27"/>
      <c r="S334" s="28"/>
      <c r="T334" s="28"/>
      <c r="V334" s="29"/>
      <c r="W334" s="29"/>
      <c r="AB334" s="28"/>
      <c r="CQ334" s="28"/>
      <c r="CR334" s="28"/>
      <c r="CS334" s="28"/>
      <c r="CT334" s="28"/>
    </row>
    <row r="335" spans="5:98" ht="12.75">
      <c r="E335" s="26"/>
      <c r="F335" s="26"/>
      <c r="H335" s="27"/>
      <c r="I335" s="27"/>
      <c r="S335" s="28"/>
      <c r="T335" s="28"/>
      <c r="V335" s="29"/>
      <c r="W335" s="29"/>
      <c r="AB335" s="28"/>
      <c r="CQ335" s="28"/>
      <c r="CR335" s="28"/>
      <c r="CS335" s="28"/>
      <c r="CT335" s="28"/>
    </row>
    <row r="336" spans="5:98" ht="12.75">
      <c r="E336" s="26"/>
      <c r="F336" s="26"/>
      <c r="H336" s="27"/>
      <c r="I336" s="27"/>
      <c r="S336" s="28"/>
      <c r="T336" s="28"/>
      <c r="V336" s="29"/>
      <c r="W336" s="29"/>
      <c r="AB336" s="28"/>
      <c r="CQ336" s="28"/>
      <c r="CR336" s="28"/>
      <c r="CS336" s="28"/>
      <c r="CT336" s="28"/>
    </row>
    <row r="337" spans="5:98" ht="12.75">
      <c r="E337" s="26"/>
      <c r="F337" s="26"/>
      <c r="H337" s="27"/>
      <c r="I337" s="27"/>
      <c r="S337" s="28"/>
      <c r="T337" s="28"/>
      <c r="V337" s="29"/>
      <c r="W337" s="29"/>
      <c r="AB337" s="28"/>
      <c r="CQ337" s="28"/>
      <c r="CR337" s="28"/>
      <c r="CS337" s="28"/>
      <c r="CT337" s="28"/>
    </row>
    <row r="338" spans="5:98" ht="12.75">
      <c r="E338" s="26"/>
      <c r="F338" s="26"/>
      <c r="H338" s="27"/>
      <c r="I338" s="27"/>
      <c r="S338" s="28"/>
      <c r="T338" s="28"/>
      <c r="V338" s="29"/>
      <c r="W338" s="29"/>
      <c r="AB338" s="28"/>
      <c r="CQ338" s="28"/>
      <c r="CR338" s="28"/>
      <c r="CS338" s="28"/>
      <c r="CT338" s="28"/>
    </row>
    <row r="339" spans="5:98" ht="12.75">
      <c r="E339" s="26"/>
      <c r="F339" s="26"/>
      <c r="H339" s="27"/>
      <c r="I339" s="27"/>
      <c r="S339" s="28"/>
      <c r="T339" s="28"/>
      <c r="V339" s="29"/>
      <c r="W339" s="29"/>
      <c r="AB339" s="28"/>
      <c r="CQ339" s="28"/>
      <c r="CR339" s="28"/>
      <c r="CS339" s="28"/>
      <c r="CT339" s="28"/>
    </row>
    <row r="340" spans="5:98" ht="12.75">
      <c r="E340" s="26"/>
      <c r="F340" s="26"/>
      <c r="G340" s="28"/>
      <c r="H340" s="27"/>
      <c r="I340" s="27"/>
      <c r="J340" s="28"/>
      <c r="K340" s="28"/>
      <c r="L340" s="28"/>
      <c r="O340" s="28"/>
      <c r="P340" s="28"/>
      <c r="Q340" s="28"/>
      <c r="R340" s="28"/>
      <c r="S340" s="28"/>
      <c r="T340" s="28"/>
      <c r="U340" s="28"/>
      <c r="V340" s="28"/>
      <c r="W340" s="28"/>
      <c r="AB340" s="28"/>
      <c r="AC340" s="28"/>
      <c r="AD340" s="28"/>
      <c r="AE340" s="28"/>
      <c r="AG340" s="28"/>
      <c r="AH340" s="28"/>
      <c r="AI340" s="28"/>
      <c r="AJ340" s="28"/>
      <c r="AK340" s="28"/>
      <c r="CP340" s="28"/>
      <c r="CQ340" s="28"/>
      <c r="CR340" s="28"/>
      <c r="CS340" s="28"/>
      <c r="CT340" s="28"/>
    </row>
    <row r="341" spans="5:98" ht="12.75">
      <c r="E341" s="26"/>
      <c r="F341" s="26"/>
      <c r="H341" s="27"/>
      <c r="I341" s="27"/>
      <c r="S341" s="28"/>
      <c r="T341" s="28"/>
      <c r="V341" s="29"/>
      <c r="W341" s="29"/>
      <c r="AB341" s="28"/>
      <c r="CQ341" s="28"/>
      <c r="CR341" s="28"/>
      <c r="CS341" s="28"/>
      <c r="CT341" s="28"/>
    </row>
    <row r="342" spans="5:98" ht="12.75">
      <c r="E342" s="26"/>
      <c r="F342" s="26"/>
      <c r="H342" s="27"/>
      <c r="I342" s="27"/>
      <c r="S342" s="28"/>
      <c r="T342" s="28"/>
      <c r="V342" s="29"/>
      <c r="W342" s="29"/>
      <c r="AB342" s="28"/>
      <c r="CQ342" s="28"/>
      <c r="CR342" s="28"/>
      <c r="CS342" s="28"/>
      <c r="CT342" s="28"/>
    </row>
    <row r="343" spans="5:98" ht="12.75">
      <c r="E343" s="26"/>
      <c r="F343" s="26"/>
      <c r="H343" s="27"/>
      <c r="I343" s="27"/>
      <c r="S343" s="28"/>
      <c r="T343" s="28"/>
      <c r="V343" s="29"/>
      <c r="W343" s="29"/>
      <c r="AB343" s="28"/>
      <c r="CQ343" s="28"/>
      <c r="CR343" s="28"/>
      <c r="CS343" s="28"/>
      <c r="CT343" s="28"/>
    </row>
    <row r="344" spans="5:98" ht="12.75">
      <c r="E344" s="26"/>
      <c r="F344" s="26"/>
      <c r="H344" s="27"/>
      <c r="I344" s="27"/>
      <c r="S344" s="28"/>
      <c r="T344" s="28"/>
      <c r="V344" s="29"/>
      <c r="W344" s="29"/>
      <c r="AB344" s="28"/>
      <c r="CQ344" s="28"/>
      <c r="CR344" s="28"/>
      <c r="CS344" s="28"/>
      <c r="CT344" s="28"/>
    </row>
    <row r="345" spans="5:98" ht="12.75">
      <c r="E345" s="26"/>
      <c r="F345" s="26"/>
      <c r="H345" s="27"/>
      <c r="I345" s="27"/>
      <c r="S345" s="28"/>
      <c r="T345" s="28"/>
      <c r="V345" s="29"/>
      <c r="W345" s="29"/>
      <c r="AB345" s="28"/>
      <c r="CQ345" s="28"/>
      <c r="CR345" s="28"/>
      <c r="CS345" s="28"/>
      <c r="CT345" s="28"/>
    </row>
    <row r="346" spans="5:98" ht="12.75">
      <c r="E346" s="26"/>
      <c r="F346" s="26"/>
      <c r="H346" s="27"/>
      <c r="I346" s="27"/>
      <c r="S346" s="28"/>
      <c r="T346" s="28"/>
      <c r="V346" s="29"/>
      <c r="W346" s="29"/>
      <c r="AB346" s="28"/>
      <c r="CQ346" s="28"/>
      <c r="CR346" s="28"/>
      <c r="CS346" s="28"/>
      <c r="CT346" s="28"/>
    </row>
    <row r="347" spans="5:98" ht="12.75">
      <c r="E347" s="26"/>
      <c r="F347" s="26"/>
      <c r="H347" s="27"/>
      <c r="I347" s="27"/>
      <c r="S347" s="28"/>
      <c r="T347" s="28"/>
      <c r="V347" s="29"/>
      <c r="W347" s="29"/>
      <c r="AB347" s="28"/>
      <c r="CQ347" s="28"/>
      <c r="CR347" s="28"/>
      <c r="CS347" s="28"/>
      <c r="CT347" s="28"/>
    </row>
    <row r="348" spans="5:98" ht="12.75">
      <c r="E348" s="26"/>
      <c r="F348" s="26"/>
      <c r="H348" s="27"/>
      <c r="I348" s="27"/>
      <c r="S348" s="28"/>
      <c r="T348" s="28"/>
      <c r="V348" s="29"/>
      <c r="W348" s="29"/>
      <c r="AB348" s="28"/>
      <c r="CQ348" s="28"/>
      <c r="CR348" s="28"/>
      <c r="CS348" s="28"/>
      <c r="CT348" s="28"/>
    </row>
    <row r="349" spans="5:98" ht="12.75">
      <c r="E349" s="26"/>
      <c r="F349" s="26"/>
      <c r="H349" s="27"/>
      <c r="I349" s="27"/>
      <c r="S349" s="28"/>
      <c r="T349" s="28"/>
      <c r="V349" s="29"/>
      <c r="W349" s="29"/>
      <c r="AB349" s="28"/>
      <c r="CQ349" s="28"/>
      <c r="CR349" s="28"/>
      <c r="CS349" s="28"/>
      <c r="CT349" s="28"/>
    </row>
    <row r="350" spans="5:98" ht="12.75">
      <c r="E350" s="26"/>
      <c r="F350" s="26"/>
      <c r="H350" s="27"/>
      <c r="I350" s="27"/>
      <c r="S350" s="28"/>
      <c r="T350" s="28"/>
      <c r="V350" s="29"/>
      <c r="W350" s="29"/>
      <c r="AB350" s="28"/>
      <c r="CQ350" s="28"/>
      <c r="CR350" s="28"/>
      <c r="CS350" s="28"/>
      <c r="CT350" s="28"/>
    </row>
    <row r="351" spans="5:98" ht="12.75">
      <c r="E351" s="26"/>
      <c r="F351" s="26"/>
      <c r="H351" s="27"/>
      <c r="I351" s="27"/>
      <c r="S351" s="28"/>
      <c r="T351" s="28"/>
      <c r="V351" s="29"/>
      <c r="W351" s="29"/>
      <c r="AB351" s="28"/>
      <c r="CQ351" s="28"/>
      <c r="CR351" s="28"/>
      <c r="CS351" s="28"/>
      <c r="CT351" s="28"/>
    </row>
    <row r="352" spans="5:98" ht="12.75">
      <c r="E352" s="26"/>
      <c r="F352" s="26"/>
      <c r="H352" s="27"/>
      <c r="I352" s="27"/>
      <c r="S352" s="28"/>
      <c r="T352" s="28"/>
      <c r="V352" s="29"/>
      <c r="W352" s="29"/>
      <c r="AB352" s="28"/>
      <c r="CQ352" s="28"/>
      <c r="CR352" s="28"/>
      <c r="CS352" s="28"/>
      <c r="CT352" s="28"/>
    </row>
    <row r="353" spans="5:98" ht="12.75">
      <c r="E353" s="26"/>
      <c r="F353" s="26"/>
      <c r="H353" s="27"/>
      <c r="I353" s="27"/>
      <c r="S353" s="28"/>
      <c r="T353" s="28"/>
      <c r="V353" s="29"/>
      <c r="W353" s="29"/>
      <c r="AB353" s="28"/>
      <c r="CQ353" s="28"/>
      <c r="CR353" s="28"/>
      <c r="CS353" s="28"/>
      <c r="CT353" s="28"/>
    </row>
    <row r="354" spans="5:98" ht="12.75">
      <c r="E354" s="26"/>
      <c r="F354" s="26"/>
      <c r="H354" s="27"/>
      <c r="I354" s="27"/>
      <c r="S354" s="28"/>
      <c r="T354" s="28"/>
      <c r="V354" s="29"/>
      <c r="W354" s="29"/>
      <c r="AB354" s="28"/>
      <c r="CQ354" s="28"/>
      <c r="CR354" s="28"/>
      <c r="CS354" s="28"/>
      <c r="CT354" s="28"/>
    </row>
    <row r="355" spans="5:98" ht="12.75">
      <c r="E355" s="26"/>
      <c r="F355" s="26"/>
      <c r="H355" s="27"/>
      <c r="I355" s="27"/>
      <c r="S355" s="28"/>
      <c r="T355" s="28"/>
      <c r="V355" s="29"/>
      <c r="W355" s="29"/>
      <c r="AB355" s="28"/>
      <c r="CQ355" s="28"/>
      <c r="CR355" s="28"/>
      <c r="CS355" s="28"/>
      <c r="CT355" s="28"/>
    </row>
    <row r="356" spans="5:98" ht="12.75">
      <c r="E356" s="26"/>
      <c r="F356" s="26"/>
      <c r="H356" s="27"/>
      <c r="I356" s="27"/>
      <c r="S356" s="28"/>
      <c r="T356" s="28"/>
      <c r="V356" s="29"/>
      <c r="W356" s="29"/>
      <c r="AB356" s="28"/>
      <c r="CQ356" s="28"/>
      <c r="CR356" s="28"/>
      <c r="CS356" s="28"/>
      <c r="CT356" s="28"/>
    </row>
    <row r="357" spans="5:98" ht="12.75">
      <c r="E357" s="26"/>
      <c r="F357" s="26"/>
      <c r="H357" s="27"/>
      <c r="I357" s="27"/>
      <c r="S357" s="28"/>
      <c r="T357" s="28"/>
      <c r="V357" s="29"/>
      <c r="W357" s="29"/>
      <c r="AB357" s="28"/>
      <c r="CQ357" s="28"/>
      <c r="CR357" s="28"/>
      <c r="CS357" s="28"/>
      <c r="CT357" s="28"/>
    </row>
    <row r="358" spans="5:98" ht="12.75">
      <c r="E358" s="26"/>
      <c r="F358" s="26"/>
      <c r="H358" s="27"/>
      <c r="I358" s="27"/>
      <c r="S358" s="28"/>
      <c r="T358" s="28"/>
      <c r="V358" s="29"/>
      <c r="W358" s="29"/>
      <c r="AB358" s="28"/>
      <c r="CQ358" s="28"/>
      <c r="CR358" s="28"/>
      <c r="CS358" s="28"/>
      <c r="CT358" s="28"/>
    </row>
    <row r="359" spans="5:98" ht="12.75">
      <c r="E359" s="26"/>
      <c r="F359" s="26"/>
      <c r="H359" s="27"/>
      <c r="I359" s="27"/>
      <c r="S359" s="28"/>
      <c r="T359" s="28"/>
      <c r="V359" s="29"/>
      <c r="W359" s="29"/>
      <c r="AB359" s="28"/>
      <c r="CQ359" s="28"/>
      <c r="CR359" s="28"/>
      <c r="CS359" s="28"/>
      <c r="CT359" s="28"/>
    </row>
    <row r="360" spans="5:98" ht="12.75">
      <c r="E360" s="26"/>
      <c r="F360" s="26"/>
      <c r="H360" s="27"/>
      <c r="I360" s="27"/>
      <c r="S360" s="28"/>
      <c r="T360" s="28"/>
      <c r="V360" s="29"/>
      <c r="W360" s="29"/>
      <c r="AB360" s="28"/>
      <c r="CQ360" s="28"/>
      <c r="CR360" s="28"/>
      <c r="CS360" s="28"/>
      <c r="CT360" s="28"/>
    </row>
    <row r="361" spans="5:98" ht="12.75">
      <c r="E361" s="26"/>
      <c r="F361" s="26"/>
      <c r="H361" s="27"/>
      <c r="I361" s="27"/>
      <c r="S361" s="28"/>
      <c r="T361" s="28"/>
      <c r="V361" s="29"/>
      <c r="W361" s="29"/>
      <c r="AB361" s="28"/>
      <c r="CQ361" s="28"/>
      <c r="CR361" s="28"/>
      <c r="CS361" s="28"/>
      <c r="CT361" s="28"/>
    </row>
    <row r="362" spans="5:98" ht="12.75">
      <c r="E362" s="26"/>
      <c r="F362" s="26"/>
      <c r="H362" s="27"/>
      <c r="I362" s="27"/>
      <c r="S362" s="28"/>
      <c r="T362" s="28"/>
      <c r="V362" s="29"/>
      <c r="W362" s="29"/>
      <c r="AB362" s="28"/>
      <c r="CQ362" s="28"/>
      <c r="CR362" s="28"/>
      <c r="CS362" s="28"/>
      <c r="CT362" s="28"/>
    </row>
    <row r="363" spans="5:98" ht="12.75">
      <c r="E363" s="26"/>
      <c r="F363" s="26"/>
      <c r="H363" s="27"/>
      <c r="I363" s="27"/>
      <c r="S363" s="28"/>
      <c r="T363" s="28"/>
      <c r="V363" s="29"/>
      <c r="W363" s="29"/>
      <c r="AB363" s="28"/>
      <c r="CQ363" s="28"/>
      <c r="CR363" s="28"/>
      <c r="CS363" s="28"/>
      <c r="CT363" s="28"/>
    </row>
    <row r="364" spans="5:98" ht="12.75">
      <c r="E364" s="26"/>
      <c r="F364" s="26"/>
      <c r="H364" s="27"/>
      <c r="I364" s="27"/>
      <c r="S364" s="28"/>
      <c r="T364" s="28"/>
      <c r="V364" s="29"/>
      <c r="W364" s="29"/>
      <c r="AB364" s="28"/>
      <c r="CQ364" s="28"/>
      <c r="CR364" s="28"/>
      <c r="CS364" s="28"/>
      <c r="CT364" s="28"/>
    </row>
    <row r="365" spans="5:98" ht="12.75">
      <c r="E365" s="26"/>
      <c r="F365" s="26"/>
      <c r="H365" s="27"/>
      <c r="I365" s="27"/>
      <c r="S365" s="28"/>
      <c r="T365" s="28"/>
      <c r="V365" s="29"/>
      <c r="W365" s="29"/>
      <c r="AB365" s="28"/>
      <c r="CQ365" s="28"/>
      <c r="CR365" s="28"/>
      <c r="CS365" s="28"/>
      <c r="CT365" s="28"/>
    </row>
    <row r="366" spans="5:98" ht="12.75">
      <c r="E366" s="26"/>
      <c r="F366" s="26"/>
      <c r="H366" s="27"/>
      <c r="I366" s="27"/>
      <c r="S366" s="28"/>
      <c r="T366" s="28"/>
      <c r="V366" s="29"/>
      <c r="W366" s="29"/>
      <c r="AB366" s="28"/>
      <c r="CQ366" s="28"/>
      <c r="CR366" s="28"/>
      <c r="CS366" s="28"/>
      <c r="CT366" s="28"/>
    </row>
    <row r="367" spans="5:98" ht="12.75">
      <c r="E367" s="26"/>
      <c r="F367" s="26"/>
      <c r="H367" s="27"/>
      <c r="I367" s="27"/>
      <c r="S367" s="28"/>
      <c r="T367" s="28"/>
      <c r="V367" s="29"/>
      <c r="W367" s="29"/>
      <c r="AB367" s="28"/>
      <c r="CQ367" s="28"/>
      <c r="CR367" s="28"/>
      <c r="CS367" s="28"/>
      <c r="CT367" s="28"/>
    </row>
    <row r="368" spans="5:98" ht="12.75">
      <c r="E368" s="26"/>
      <c r="F368" s="26"/>
      <c r="H368" s="27"/>
      <c r="I368" s="27"/>
      <c r="S368" s="28"/>
      <c r="T368" s="28"/>
      <c r="V368" s="29"/>
      <c r="W368" s="29"/>
      <c r="AB368" s="28"/>
      <c r="CQ368" s="28"/>
      <c r="CR368" s="28"/>
      <c r="CS368" s="28"/>
      <c r="CT368" s="28"/>
    </row>
    <row r="369" spans="5:98" ht="12.75">
      <c r="E369" s="26"/>
      <c r="F369" s="26"/>
      <c r="H369" s="27"/>
      <c r="I369" s="27"/>
      <c r="S369" s="28"/>
      <c r="T369" s="28"/>
      <c r="V369" s="29"/>
      <c r="W369" s="29"/>
      <c r="AB369" s="28"/>
      <c r="CQ369" s="28"/>
      <c r="CR369" s="28"/>
      <c r="CS369" s="28"/>
      <c r="CT369" s="28"/>
    </row>
    <row r="370" spans="5:98" ht="12.75">
      <c r="E370" s="26"/>
      <c r="F370" s="26"/>
      <c r="H370" s="27"/>
      <c r="I370" s="27"/>
      <c r="S370" s="28"/>
      <c r="T370" s="28"/>
      <c r="V370" s="29"/>
      <c r="W370" s="29"/>
      <c r="AB370" s="28"/>
      <c r="CQ370" s="28"/>
      <c r="CR370" s="28"/>
      <c r="CS370" s="28"/>
      <c r="CT370" s="28"/>
    </row>
    <row r="371" spans="5:98" ht="12.75">
      <c r="E371" s="26"/>
      <c r="F371" s="26"/>
      <c r="H371" s="27"/>
      <c r="I371" s="27"/>
      <c r="S371" s="28"/>
      <c r="T371" s="28"/>
      <c r="V371" s="29"/>
      <c r="W371" s="29"/>
      <c r="AB371" s="28"/>
      <c r="CQ371" s="28"/>
      <c r="CR371" s="28"/>
      <c r="CS371" s="28"/>
      <c r="CT371" s="28"/>
    </row>
    <row r="372" spans="5:98" ht="12.75">
      <c r="E372" s="26"/>
      <c r="F372" s="26"/>
      <c r="H372" s="27"/>
      <c r="I372" s="27"/>
      <c r="S372" s="28"/>
      <c r="T372" s="28"/>
      <c r="V372" s="29"/>
      <c r="W372" s="29"/>
      <c r="AB372" s="28"/>
      <c r="CQ372" s="28"/>
      <c r="CR372" s="28"/>
      <c r="CS372" s="28"/>
      <c r="CT372" s="28"/>
    </row>
    <row r="373" spans="5:98" ht="12.75">
      <c r="E373" s="26"/>
      <c r="F373" s="26"/>
      <c r="H373" s="27"/>
      <c r="I373" s="27"/>
      <c r="S373" s="28"/>
      <c r="T373" s="28"/>
      <c r="V373" s="29"/>
      <c r="W373" s="29"/>
      <c r="AB373" s="28"/>
      <c r="CQ373" s="28"/>
      <c r="CR373" s="28"/>
      <c r="CS373" s="28"/>
      <c r="CT373" s="28"/>
    </row>
    <row r="374" spans="5:98" ht="12.75">
      <c r="E374" s="26"/>
      <c r="F374" s="26"/>
      <c r="H374" s="27"/>
      <c r="I374" s="27"/>
      <c r="S374" s="28"/>
      <c r="T374" s="28"/>
      <c r="V374" s="29"/>
      <c r="W374" s="29"/>
      <c r="AB374" s="28"/>
      <c r="CQ374" s="28"/>
      <c r="CR374" s="28"/>
      <c r="CS374" s="28"/>
      <c r="CT374" s="28"/>
    </row>
    <row r="375" spans="5:98" ht="12.75">
      <c r="E375" s="26"/>
      <c r="F375" s="26"/>
      <c r="H375" s="27"/>
      <c r="I375" s="27"/>
      <c r="S375" s="28"/>
      <c r="T375" s="28"/>
      <c r="V375" s="29"/>
      <c r="W375" s="29"/>
      <c r="AB375" s="28"/>
      <c r="CQ375" s="28"/>
      <c r="CR375" s="28"/>
      <c r="CS375" s="28"/>
      <c r="CT375" s="28"/>
    </row>
    <row r="376" spans="5:98" ht="12.75">
      <c r="E376" s="26"/>
      <c r="F376" s="26"/>
      <c r="H376" s="27"/>
      <c r="I376" s="27"/>
      <c r="S376" s="28"/>
      <c r="T376" s="28"/>
      <c r="V376" s="29"/>
      <c r="W376" s="29"/>
      <c r="AB376" s="28"/>
      <c r="CQ376" s="28"/>
      <c r="CR376" s="28"/>
      <c r="CS376" s="28"/>
      <c r="CT376" s="28"/>
    </row>
    <row r="377" spans="5:98" ht="12.75">
      <c r="E377" s="26"/>
      <c r="F377" s="26"/>
      <c r="H377" s="27"/>
      <c r="I377" s="27"/>
      <c r="S377" s="28"/>
      <c r="T377" s="28"/>
      <c r="V377" s="29"/>
      <c r="W377" s="29"/>
      <c r="AB377" s="28"/>
      <c r="CQ377" s="28"/>
      <c r="CR377" s="28"/>
      <c r="CS377" s="28"/>
      <c r="CT377" s="28"/>
    </row>
    <row r="378" spans="5:98" ht="12.75">
      <c r="E378" s="26"/>
      <c r="F378" s="26"/>
      <c r="H378" s="27"/>
      <c r="I378" s="27"/>
      <c r="S378" s="28"/>
      <c r="T378" s="28"/>
      <c r="V378" s="29"/>
      <c r="W378" s="29"/>
      <c r="AB378" s="28"/>
      <c r="CQ378" s="28"/>
      <c r="CR378" s="28"/>
      <c r="CS378" s="28"/>
      <c r="CT378" s="28"/>
    </row>
    <row r="379" spans="5:98" ht="12.75">
      <c r="E379" s="26"/>
      <c r="F379" s="26"/>
      <c r="H379" s="27"/>
      <c r="I379" s="27"/>
      <c r="S379" s="28"/>
      <c r="T379" s="28"/>
      <c r="V379" s="29"/>
      <c r="W379" s="29"/>
      <c r="AB379" s="28"/>
      <c r="CQ379" s="28"/>
      <c r="CR379" s="28"/>
      <c r="CS379" s="28"/>
      <c r="CT379" s="28"/>
    </row>
    <row r="380" spans="5:98" ht="12.75">
      <c r="E380" s="26"/>
      <c r="F380" s="26"/>
      <c r="H380" s="27"/>
      <c r="I380" s="27"/>
      <c r="S380" s="28"/>
      <c r="T380" s="28"/>
      <c r="V380" s="29"/>
      <c r="W380" s="29"/>
      <c r="AB380" s="28"/>
      <c r="CQ380" s="28"/>
      <c r="CR380" s="28"/>
      <c r="CS380" s="28"/>
      <c r="CT380" s="28"/>
    </row>
    <row r="381" spans="5:98" ht="12.75">
      <c r="E381" s="26"/>
      <c r="F381" s="26"/>
      <c r="H381" s="27"/>
      <c r="I381" s="27"/>
      <c r="S381" s="28"/>
      <c r="T381" s="28"/>
      <c r="V381" s="29"/>
      <c r="W381" s="29"/>
      <c r="AB381" s="28"/>
      <c r="CQ381" s="28"/>
      <c r="CR381" s="28"/>
      <c r="CS381" s="28"/>
      <c r="CT381" s="28"/>
    </row>
    <row r="382" spans="5:98" ht="12.75">
      <c r="E382" s="26"/>
      <c r="F382" s="26"/>
      <c r="H382" s="27"/>
      <c r="I382" s="27"/>
      <c r="S382" s="28"/>
      <c r="T382" s="28"/>
      <c r="V382" s="29"/>
      <c r="W382" s="29"/>
      <c r="AB382" s="28"/>
      <c r="CQ382" s="28"/>
      <c r="CR382" s="28"/>
      <c r="CS382" s="28"/>
      <c r="CT382" s="28"/>
    </row>
    <row r="383" spans="5:98" ht="12.75">
      <c r="E383" s="26"/>
      <c r="F383" s="26"/>
      <c r="H383" s="27"/>
      <c r="I383" s="27"/>
      <c r="S383" s="28"/>
      <c r="T383" s="28"/>
      <c r="V383" s="29"/>
      <c r="W383" s="29"/>
      <c r="AB383" s="28"/>
      <c r="CQ383" s="28"/>
      <c r="CR383" s="28"/>
      <c r="CS383" s="28"/>
      <c r="CT383" s="28"/>
    </row>
    <row r="384" spans="5:98" ht="12.75">
      <c r="E384" s="26"/>
      <c r="F384" s="26"/>
      <c r="H384" s="27"/>
      <c r="I384" s="27"/>
      <c r="S384" s="28"/>
      <c r="T384" s="28"/>
      <c r="V384" s="29"/>
      <c r="W384" s="29"/>
      <c r="AB384" s="28"/>
      <c r="CQ384" s="28"/>
      <c r="CR384" s="28"/>
      <c r="CS384" s="28"/>
      <c r="CT384" s="28"/>
    </row>
    <row r="385" spans="5:98" ht="12.75">
      <c r="E385" s="26"/>
      <c r="F385" s="26"/>
      <c r="H385" s="27"/>
      <c r="I385" s="27"/>
      <c r="S385" s="28"/>
      <c r="T385" s="28"/>
      <c r="V385" s="29"/>
      <c r="W385" s="29"/>
      <c r="AB385" s="28"/>
      <c r="CQ385" s="28"/>
      <c r="CR385" s="28"/>
      <c r="CS385" s="28"/>
      <c r="CT385" s="28"/>
    </row>
    <row r="386" spans="5:98" ht="12.75">
      <c r="E386" s="26"/>
      <c r="F386" s="26"/>
      <c r="H386" s="27"/>
      <c r="I386" s="27"/>
      <c r="S386" s="28"/>
      <c r="T386" s="28"/>
      <c r="V386" s="29"/>
      <c r="W386" s="29"/>
      <c r="AB386" s="28"/>
      <c r="CQ386" s="28"/>
      <c r="CR386" s="28"/>
      <c r="CS386" s="28"/>
      <c r="CT386" s="28"/>
    </row>
    <row r="387" spans="5:98" ht="12.75">
      <c r="E387" s="26"/>
      <c r="F387" s="26"/>
      <c r="H387" s="27"/>
      <c r="I387" s="27"/>
      <c r="S387" s="28"/>
      <c r="T387" s="28"/>
      <c r="V387" s="29"/>
      <c r="W387" s="29"/>
      <c r="AB387" s="28"/>
      <c r="CQ387" s="28"/>
      <c r="CR387" s="28"/>
      <c r="CS387" s="28"/>
      <c r="CT387" s="28"/>
    </row>
    <row r="388" spans="5:98" ht="12.75">
      <c r="E388" s="26"/>
      <c r="F388" s="26"/>
      <c r="H388" s="27"/>
      <c r="I388" s="27"/>
      <c r="S388" s="28"/>
      <c r="T388" s="28"/>
      <c r="V388" s="29"/>
      <c r="W388" s="29"/>
      <c r="AB388" s="28"/>
      <c r="CQ388" s="28"/>
      <c r="CR388" s="28"/>
      <c r="CS388" s="28"/>
      <c r="CT388" s="28"/>
    </row>
    <row r="389" spans="5:98" ht="12.75">
      <c r="E389" s="26"/>
      <c r="F389" s="26"/>
      <c r="H389" s="27"/>
      <c r="I389" s="27"/>
      <c r="S389" s="28"/>
      <c r="T389" s="28"/>
      <c r="V389" s="29"/>
      <c r="W389" s="29"/>
      <c r="AB389" s="28"/>
      <c r="CQ389" s="28"/>
      <c r="CR389" s="28"/>
      <c r="CS389" s="28"/>
      <c r="CT389" s="28"/>
    </row>
    <row r="390" spans="5:98" ht="12.75">
      <c r="E390" s="26"/>
      <c r="F390" s="26"/>
      <c r="H390" s="27"/>
      <c r="I390" s="27"/>
      <c r="S390" s="28"/>
      <c r="T390" s="28"/>
      <c r="V390" s="29"/>
      <c r="W390" s="29"/>
      <c r="AB390" s="28"/>
      <c r="CQ390" s="28"/>
      <c r="CR390" s="28"/>
      <c r="CS390" s="28"/>
      <c r="CT390" s="28"/>
    </row>
    <row r="391" spans="5:98" ht="12.75">
      <c r="E391" s="26"/>
      <c r="F391" s="26"/>
      <c r="H391" s="27"/>
      <c r="I391" s="27"/>
      <c r="S391" s="28"/>
      <c r="T391" s="28"/>
      <c r="V391" s="29"/>
      <c r="W391" s="29"/>
      <c r="AB391" s="28"/>
      <c r="CQ391" s="28"/>
      <c r="CR391" s="28"/>
      <c r="CS391" s="28"/>
      <c r="CT391" s="28"/>
    </row>
    <row r="392" spans="5:98" ht="12.75">
      <c r="E392" s="26"/>
      <c r="F392" s="26"/>
      <c r="H392" s="27"/>
      <c r="I392" s="27"/>
      <c r="S392" s="28"/>
      <c r="T392" s="28"/>
      <c r="V392" s="29"/>
      <c r="W392" s="29"/>
      <c r="AB392" s="28"/>
      <c r="CQ392" s="28"/>
      <c r="CR392" s="28"/>
      <c r="CS392" s="28"/>
      <c r="CT392" s="28"/>
    </row>
    <row r="393" spans="5:98" ht="12.75">
      <c r="E393" s="26"/>
      <c r="F393" s="26"/>
      <c r="H393" s="27"/>
      <c r="I393" s="27"/>
      <c r="S393" s="28"/>
      <c r="T393" s="28"/>
      <c r="V393" s="29"/>
      <c r="W393" s="29"/>
      <c r="AB393" s="28"/>
      <c r="CQ393" s="28"/>
      <c r="CR393" s="28"/>
      <c r="CS393" s="28"/>
      <c r="CT393" s="28"/>
    </row>
    <row r="394" spans="5:98" ht="12.75">
      <c r="E394" s="26"/>
      <c r="F394" s="26"/>
      <c r="H394" s="27"/>
      <c r="I394" s="27"/>
      <c r="S394" s="28"/>
      <c r="T394" s="28"/>
      <c r="V394" s="29"/>
      <c r="W394" s="29"/>
      <c r="AB394" s="28"/>
      <c r="CQ394" s="28"/>
      <c r="CR394" s="28"/>
      <c r="CS394" s="28"/>
      <c r="CT394" s="28"/>
    </row>
    <row r="395" spans="5:98" ht="12.75">
      <c r="E395" s="26"/>
      <c r="F395" s="26"/>
      <c r="H395" s="27"/>
      <c r="I395" s="27"/>
      <c r="S395" s="28"/>
      <c r="T395" s="28"/>
      <c r="V395" s="29"/>
      <c r="W395" s="29"/>
      <c r="AB395" s="28"/>
      <c r="CQ395" s="28"/>
      <c r="CR395" s="28"/>
      <c r="CS395" s="28"/>
      <c r="CT395" s="28"/>
    </row>
    <row r="396" spans="5:98" ht="12.75">
      <c r="E396" s="26"/>
      <c r="F396" s="26"/>
      <c r="H396" s="27"/>
      <c r="I396" s="27"/>
      <c r="S396" s="28"/>
      <c r="T396" s="28"/>
      <c r="V396" s="29"/>
      <c r="W396" s="29"/>
      <c r="AB396" s="28"/>
      <c r="CQ396" s="28"/>
      <c r="CR396" s="28"/>
      <c r="CS396" s="28"/>
      <c r="CT396" s="28"/>
    </row>
    <row r="397" spans="5:98" ht="12.75">
      <c r="E397" s="26"/>
      <c r="F397" s="26"/>
      <c r="H397" s="27"/>
      <c r="I397" s="27"/>
      <c r="S397" s="28"/>
      <c r="T397" s="28"/>
      <c r="V397" s="29"/>
      <c r="W397" s="29"/>
      <c r="AB397" s="28"/>
      <c r="CQ397" s="28"/>
      <c r="CR397" s="28"/>
      <c r="CS397" s="28"/>
      <c r="CT397" s="28"/>
    </row>
    <row r="398" spans="5:98" ht="12.75">
      <c r="E398" s="26"/>
      <c r="F398" s="26"/>
      <c r="H398" s="27"/>
      <c r="I398" s="27"/>
      <c r="S398" s="28"/>
      <c r="T398" s="28"/>
      <c r="V398" s="29"/>
      <c r="W398" s="29"/>
      <c r="AB398" s="28"/>
      <c r="CQ398" s="28"/>
      <c r="CR398" s="28"/>
      <c r="CS398" s="28"/>
      <c r="CT398" s="28"/>
    </row>
    <row r="399" spans="5:98" ht="12.75">
      <c r="E399" s="26"/>
      <c r="F399" s="26"/>
      <c r="H399" s="27"/>
      <c r="I399" s="27"/>
      <c r="S399" s="28"/>
      <c r="T399" s="28"/>
      <c r="V399" s="29"/>
      <c r="W399" s="29"/>
      <c r="AB399" s="28"/>
      <c r="CQ399" s="28"/>
      <c r="CR399" s="28"/>
      <c r="CS399" s="28"/>
      <c r="CT399" s="28"/>
    </row>
    <row r="400" spans="5:98" ht="12.75">
      <c r="E400" s="26"/>
      <c r="F400" s="26"/>
      <c r="H400" s="27"/>
      <c r="I400" s="27"/>
      <c r="S400" s="28"/>
      <c r="T400" s="28"/>
      <c r="V400" s="29"/>
      <c r="W400" s="29"/>
      <c r="AB400" s="28"/>
      <c r="CQ400" s="28"/>
      <c r="CR400" s="28"/>
      <c r="CS400" s="28"/>
      <c r="CT400" s="28"/>
    </row>
    <row r="401" spans="5:98" ht="12.75">
      <c r="E401" s="26"/>
      <c r="F401" s="26"/>
      <c r="H401" s="27"/>
      <c r="I401" s="27"/>
      <c r="S401" s="28"/>
      <c r="T401" s="28"/>
      <c r="V401" s="29"/>
      <c r="W401" s="29"/>
      <c r="AB401" s="28"/>
      <c r="CQ401" s="28"/>
      <c r="CR401" s="28"/>
      <c r="CS401" s="28"/>
      <c r="CT401" s="28"/>
    </row>
    <row r="402" spans="5:98" ht="12.75">
      <c r="E402" s="26"/>
      <c r="F402" s="26"/>
      <c r="H402" s="27"/>
      <c r="I402" s="27"/>
      <c r="S402" s="28"/>
      <c r="T402" s="28"/>
      <c r="V402" s="29"/>
      <c r="W402" s="29"/>
      <c r="AB402" s="28"/>
      <c r="CQ402" s="28"/>
      <c r="CR402" s="28"/>
      <c r="CS402" s="28"/>
      <c r="CT402" s="28"/>
    </row>
    <row r="403" spans="5:98" ht="12.75">
      <c r="E403" s="26"/>
      <c r="F403" s="26"/>
      <c r="H403" s="27"/>
      <c r="I403" s="27"/>
      <c r="S403" s="28"/>
      <c r="T403" s="28"/>
      <c r="V403" s="29"/>
      <c r="W403" s="29"/>
      <c r="AB403" s="28"/>
      <c r="CQ403" s="28"/>
      <c r="CR403" s="28"/>
      <c r="CS403" s="28"/>
      <c r="CT403" s="28"/>
    </row>
    <row r="404" spans="5:98" ht="12.75">
      <c r="E404" s="26"/>
      <c r="F404" s="26"/>
      <c r="H404" s="27"/>
      <c r="I404" s="27"/>
      <c r="S404" s="28"/>
      <c r="T404" s="28"/>
      <c r="V404" s="29"/>
      <c r="W404" s="29"/>
      <c r="AB404" s="28"/>
      <c r="CQ404" s="28"/>
      <c r="CR404" s="28"/>
      <c r="CS404" s="28"/>
      <c r="CT404" s="28"/>
    </row>
    <row r="405" spans="5:98" ht="12.75">
      <c r="E405" s="26"/>
      <c r="F405" s="26"/>
      <c r="H405" s="27"/>
      <c r="I405" s="27"/>
      <c r="S405" s="28"/>
      <c r="T405" s="28"/>
      <c r="V405" s="29"/>
      <c r="W405" s="29"/>
      <c r="AB405" s="28"/>
      <c r="CQ405" s="28"/>
      <c r="CR405" s="28"/>
      <c r="CS405" s="28"/>
      <c r="CT405" s="28"/>
    </row>
    <row r="406" spans="5:98" ht="12.75">
      <c r="E406" s="26"/>
      <c r="F406" s="26"/>
      <c r="H406" s="27"/>
      <c r="I406" s="27"/>
      <c r="S406" s="28"/>
      <c r="T406" s="28"/>
      <c r="V406" s="29"/>
      <c r="W406" s="29"/>
      <c r="AB406" s="28"/>
      <c r="CQ406" s="28"/>
      <c r="CR406" s="28"/>
      <c r="CS406" s="28"/>
      <c r="CT406" s="28"/>
    </row>
    <row r="407" spans="5:98" ht="12.75">
      <c r="E407" s="26"/>
      <c r="F407" s="26"/>
      <c r="H407" s="27"/>
      <c r="I407" s="27"/>
      <c r="S407" s="28"/>
      <c r="T407" s="28"/>
      <c r="V407" s="29"/>
      <c r="W407" s="29"/>
      <c r="AB407" s="28"/>
      <c r="CQ407" s="28"/>
      <c r="CR407" s="28"/>
      <c r="CS407" s="28"/>
      <c r="CT407" s="28"/>
    </row>
    <row r="408" spans="5:98" ht="12.75">
      <c r="E408" s="26"/>
      <c r="F408" s="26"/>
      <c r="H408" s="27"/>
      <c r="I408" s="27"/>
      <c r="S408" s="28"/>
      <c r="T408" s="28"/>
      <c r="V408" s="29"/>
      <c r="W408" s="29"/>
      <c r="AB408" s="28"/>
      <c r="CQ408" s="28"/>
      <c r="CR408" s="28"/>
      <c r="CS408" s="28"/>
      <c r="CT408" s="28"/>
    </row>
    <row r="409" spans="5:98" ht="12.75">
      <c r="E409" s="26"/>
      <c r="F409" s="26"/>
      <c r="H409" s="27"/>
      <c r="I409" s="27"/>
      <c r="S409" s="28"/>
      <c r="T409" s="28"/>
      <c r="V409" s="29"/>
      <c r="W409" s="29"/>
      <c r="AB409" s="28"/>
      <c r="CQ409" s="28"/>
      <c r="CR409" s="28"/>
      <c r="CS409" s="28"/>
      <c r="CT409" s="28"/>
    </row>
    <row r="410" spans="5:98" ht="12.75">
      <c r="E410" s="26"/>
      <c r="F410" s="26"/>
      <c r="H410" s="27"/>
      <c r="I410" s="27"/>
      <c r="S410" s="28"/>
      <c r="T410" s="28"/>
      <c r="V410" s="29"/>
      <c r="W410" s="29"/>
      <c r="AB410" s="28"/>
      <c r="CQ410" s="28"/>
      <c r="CR410" s="28"/>
      <c r="CS410" s="28"/>
      <c r="CT410" s="28"/>
    </row>
    <row r="411" spans="5:98" ht="12.75">
      <c r="E411" s="26"/>
      <c r="F411" s="26"/>
      <c r="H411" s="27"/>
      <c r="I411" s="27"/>
      <c r="S411" s="28"/>
      <c r="T411" s="28"/>
      <c r="V411" s="29"/>
      <c r="W411" s="29"/>
      <c r="AB411" s="28"/>
      <c r="CQ411" s="28"/>
      <c r="CR411" s="28"/>
      <c r="CS411" s="28"/>
      <c r="CT411" s="28"/>
    </row>
    <row r="412" spans="5:98" ht="12.75">
      <c r="E412" s="26"/>
      <c r="F412" s="26"/>
      <c r="H412" s="27"/>
      <c r="I412" s="27"/>
      <c r="S412" s="28"/>
      <c r="T412" s="28"/>
      <c r="V412" s="29"/>
      <c r="W412" s="29"/>
      <c r="AB412" s="28"/>
      <c r="CQ412" s="28"/>
      <c r="CR412" s="28"/>
      <c r="CS412" s="28"/>
      <c r="CT412" s="28"/>
    </row>
    <row r="413" spans="5:98" ht="12.75">
      <c r="E413" s="26"/>
      <c r="F413" s="26"/>
      <c r="H413" s="27"/>
      <c r="I413" s="27"/>
      <c r="S413" s="28"/>
      <c r="T413" s="28"/>
      <c r="V413" s="29"/>
      <c r="W413" s="29"/>
      <c r="AB413" s="28"/>
      <c r="CQ413" s="28"/>
      <c r="CR413" s="28"/>
      <c r="CS413" s="28"/>
      <c r="CT413" s="28"/>
    </row>
    <row r="414" spans="5:98" ht="12.75">
      <c r="E414" s="26"/>
      <c r="F414" s="26"/>
      <c r="H414" s="27"/>
      <c r="I414" s="27"/>
      <c r="S414" s="28"/>
      <c r="T414" s="28"/>
      <c r="V414" s="29"/>
      <c r="W414" s="29"/>
      <c r="AB414" s="28"/>
      <c r="CQ414" s="28"/>
      <c r="CR414" s="28"/>
      <c r="CS414" s="28"/>
      <c r="CT414" s="28"/>
    </row>
    <row r="415" spans="5:98" ht="12.75">
      <c r="E415" s="26"/>
      <c r="F415" s="26"/>
      <c r="H415" s="27"/>
      <c r="I415" s="27"/>
      <c r="S415" s="28"/>
      <c r="T415" s="28"/>
      <c r="V415" s="29"/>
      <c r="W415" s="29"/>
      <c r="AB415" s="28"/>
      <c r="CQ415" s="28"/>
      <c r="CR415" s="28"/>
      <c r="CS415" s="28"/>
      <c r="CT415" s="28"/>
    </row>
    <row r="416" spans="5:98" ht="12.75">
      <c r="E416" s="26"/>
      <c r="F416" s="26"/>
      <c r="H416" s="27"/>
      <c r="I416" s="27"/>
      <c r="S416" s="28"/>
      <c r="T416" s="28"/>
      <c r="V416" s="29"/>
      <c r="W416" s="29"/>
      <c r="AB416" s="28"/>
      <c r="CQ416" s="28"/>
      <c r="CR416" s="28"/>
      <c r="CS416" s="28"/>
      <c r="CT416" s="28"/>
    </row>
    <row r="417" spans="5:98" ht="12.75">
      <c r="E417" s="26"/>
      <c r="F417" s="26"/>
      <c r="H417" s="27"/>
      <c r="I417" s="27"/>
      <c r="S417" s="28"/>
      <c r="T417" s="28"/>
      <c r="V417" s="29"/>
      <c r="W417" s="29"/>
      <c r="AB417" s="28"/>
      <c r="CQ417" s="28"/>
      <c r="CR417" s="28"/>
      <c r="CS417" s="28"/>
      <c r="CT417" s="28"/>
    </row>
    <row r="418" spans="5:98" ht="12.75">
      <c r="E418" s="26"/>
      <c r="F418" s="26"/>
      <c r="H418" s="27"/>
      <c r="I418" s="27"/>
      <c r="S418" s="28"/>
      <c r="T418" s="28"/>
      <c r="V418" s="29"/>
      <c r="W418" s="29"/>
      <c r="AB418" s="28"/>
      <c r="CQ418" s="28"/>
      <c r="CR418" s="28"/>
      <c r="CS418" s="28"/>
      <c r="CT418" s="28"/>
    </row>
    <row r="419" spans="5:98" ht="12.75">
      <c r="E419" s="26"/>
      <c r="F419" s="26"/>
      <c r="H419" s="27"/>
      <c r="I419" s="27"/>
      <c r="S419" s="28"/>
      <c r="T419" s="28"/>
      <c r="V419" s="29"/>
      <c r="W419" s="29"/>
      <c r="AB419" s="28"/>
      <c r="CQ419" s="28"/>
      <c r="CR419" s="28"/>
      <c r="CS419" s="28"/>
      <c r="CT419" s="28"/>
    </row>
    <row r="420" spans="5:98" ht="12.75">
      <c r="E420" s="26"/>
      <c r="F420" s="26"/>
      <c r="H420" s="27"/>
      <c r="I420" s="27"/>
      <c r="S420" s="28"/>
      <c r="T420" s="28"/>
      <c r="V420" s="29"/>
      <c r="W420" s="29"/>
      <c r="AB420" s="28"/>
      <c r="CQ420" s="28"/>
      <c r="CR420" s="28"/>
      <c r="CS420" s="28"/>
      <c r="CT420" s="28"/>
    </row>
    <row r="421" spans="5:98" ht="12.75">
      <c r="E421" s="26"/>
      <c r="F421" s="26"/>
      <c r="H421" s="27"/>
      <c r="I421" s="27"/>
      <c r="S421" s="28"/>
      <c r="T421" s="28"/>
      <c r="V421" s="29"/>
      <c r="W421" s="29"/>
      <c r="AB421" s="28"/>
      <c r="CQ421" s="28"/>
      <c r="CR421" s="28"/>
      <c r="CS421" s="28"/>
      <c r="CT421" s="28"/>
    </row>
    <row r="422" spans="5:98" ht="12.75">
      <c r="E422" s="26"/>
      <c r="F422" s="26"/>
      <c r="H422" s="27"/>
      <c r="I422" s="27"/>
      <c r="S422" s="28"/>
      <c r="T422" s="28"/>
      <c r="V422" s="29"/>
      <c r="W422" s="29"/>
      <c r="AB422" s="28"/>
      <c r="CQ422" s="28"/>
      <c r="CR422" s="28"/>
      <c r="CS422" s="28"/>
      <c r="CT422" s="28"/>
    </row>
    <row r="423" spans="5:98" ht="12.75">
      <c r="E423" s="26"/>
      <c r="F423" s="26"/>
      <c r="H423" s="27"/>
      <c r="I423" s="27"/>
      <c r="S423" s="28"/>
      <c r="T423" s="28"/>
      <c r="V423" s="29"/>
      <c r="W423" s="29"/>
      <c r="AB423" s="28"/>
      <c r="CQ423" s="28"/>
      <c r="CR423" s="28"/>
      <c r="CS423" s="28"/>
      <c r="CT423" s="28"/>
    </row>
    <row r="424" spans="5:98" ht="12.75">
      <c r="E424" s="26"/>
      <c r="F424" s="26"/>
      <c r="H424" s="27"/>
      <c r="I424" s="27"/>
      <c r="S424" s="28"/>
      <c r="T424" s="28"/>
      <c r="V424" s="29"/>
      <c r="W424" s="29"/>
      <c r="AB424" s="28"/>
      <c r="CQ424" s="28"/>
      <c r="CR424" s="28"/>
      <c r="CS424" s="28"/>
      <c r="CT424" s="28"/>
    </row>
    <row r="425" spans="5:98" ht="12.75">
      <c r="E425" s="26"/>
      <c r="F425" s="26"/>
      <c r="H425" s="27"/>
      <c r="I425" s="27"/>
      <c r="S425" s="28"/>
      <c r="T425" s="28"/>
      <c r="V425" s="29"/>
      <c r="W425" s="29"/>
      <c r="AB425" s="28"/>
      <c r="CQ425" s="28"/>
      <c r="CR425" s="28"/>
      <c r="CS425" s="28"/>
      <c r="CT425" s="28"/>
    </row>
    <row r="426" spans="5:98" ht="12.75">
      <c r="E426" s="26"/>
      <c r="F426" s="26"/>
      <c r="H426" s="27"/>
      <c r="I426" s="27"/>
      <c r="S426" s="28"/>
      <c r="T426" s="28"/>
      <c r="V426" s="29"/>
      <c r="W426" s="29"/>
      <c r="AB426" s="28"/>
      <c r="CQ426" s="28"/>
      <c r="CR426" s="28"/>
      <c r="CS426" s="28"/>
      <c r="CT426" s="28"/>
    </row>
    <row r="427" spans="5:98" ht="12.75">
      <c r="E427" s="26"/>
      <c r="F427" s="26"/>
      <c r="H427" s="27"/>
      <c r="I427" s="27"/>
      <c r="S427" s="28"/>
      <c r="T427" s="28"/>
      <c r="V427" s="29"/>
      <c r="W427" s="29"/>
      <c r="AB427" s="28"/>
      <c r="CQ427" s="28"/>
      <c r="CR427" s="28"/>
      <c r="CS427" s="28"/>
      <c r="CT427" s="28"/>
    </row>
    <row r="428" spans="5:98" ht="12.75">
      <c r="E428" s="26"/>
      <c r="F428" s="26"/>
      <c r="H428" s="27"/>
      <c r="I428" s="27"/>
      <c r="S428" s="28"/>
      <c r="T428" s="28"/>
      <c r="V428" s="29"/>
      <c r="W428" s="29"/>
      <c r="AB428" s="28"/>
      <c r="CQ428" s="28"/>
      <c r="CR428" s="28"/>
      <c r="CS428" s="28"/>
      <c r="CT428" s="28"/>
    </row>
    <row r="429" spans="5:98" ht="12.75">
      <c r="E429" s="26"/>
      <c r="F429" s="26"/>
      <c r="H429" s="27"/>
      <c r="I429" s="27"/>
      <c r="S429" s="28"/>
      <c r="T429" s="28"/>
      <c r="V429" s="29"/>
      <c r="W429" s="29"/>
      <c r="AB429" s="28"/>
      <c r="CQ429" s="28"/>
      <c r="CR429" s="28"/>
      <c r="CS429" s="28"/>
      <c r="CT429" s="28"/>
    </row>
    <row r="430" spans="5:98" ht="12.75">
      <c r="E430" s="26"/>
      <c r="F430" s="26"/>
      <c r="H430" s="27"/>
      <c r="I430" s="27"/>
      <c r="S430" s="28"/>
      <c r="T430" s="28"/>
      <c r="V430" s="29"/>
      <c r="W430" s="29"/>
      <c r="AB430" s="28"/>
      <c r="CQ430" s="28"/>
      <c r="CR430" s="28"/>
      <c r="CS430" s="28"/>
      <c r="CT430" s="28"/>
    </row>
    <row r="431" spans="5:98" ht="12.75">
      <c r="E431" s="26"/>
      <c r="F431" s="26"/>
      <c r="H431" s="27"/>
      <c r="I431" s="27"/>
      <c r="S431" s="28"/>
      <c r="T431" s="28"/>
      <c r="V431" s="29"/>
      <c r="W431" s="29"/>
      <c r="AB431" s="28"/>
      <c r="CQ431" s="28"/>
      <c r="CR431" s="28"/>
      <c r="CS431" s="28"/>
      <c r="CT431" s="28"/>
    </row>
    <row r="432" spans="5:98" ht="12.75">
      <c r="E432" s="26"/>
      <c r="F432" s="26"/>
      <c r="H432" s="27"/>
      <c r="I432" s="27"/>
      <c r="S432" s="28"/>
      <c r="T432" s="28"/>
      <c r="V432" s="29"/>
      <c r="W432" s="29"/>
      <c r="AB432" s="28"/>
      <c r="CQ432" s="28"/>
      <c r="CR432" s="28"/>
      <c r="CS432" s="28"/>
      <c r="CT432" s="28"/>
    </row>
    <row r="433" spans="5:98" ht="12.75">
      <c r="E433" s="26"/>
      <c r="F433" s="26"/>
      <c r="H433" s="27"/>
      <c r="I433" s="27"/>
      <c r="S433" s="28"/>
      <c r="T433" s="28"/>
      <c r="V433" s="29"/>
      <c r="W433" s="29"/>
      <c r="AB433" s="28"/>
      <c r="CQ433" s="28"/>
      <c r="CR433" s="28"/>
      <c r="CS433" s="28"/>
      <c r="CT433" s="28"/>
    </row>
    <row r="434" spans="5:98" ht="12.75">
      <c r="E434" s="26"/>
      <c r="F434" s="26"/>
      <c r="H434" s="27"/>
      <c r="I434" s="27"/>
      <c r="S434" s="28"/>
      <c r="T434" s="28"/>
      <c r="V434" s="29"/>
      <c r="W434" s="29"/>
      <c r="AB434" s="28"/>
      <c r="CQ434" s="28"/>
      <c r="CR434" s="28"/>
      <c r="CS434" s="28"/>
      <c r="CT434" s="28"/>
    </row>
    <row r="435" spans="5:98" ht="12.75">
      <c r="E435" s="26"/>
      <c r="F435" s="26"/>
      <c r="H435" s="27"/>
      <c r="I435" s="27"/>
      <c r="S435" s="28"/>
      <c r="T435" s="28"/>
      <c r="V435" s="29"/>
      <c r="W435" s="29"/>
      <c r="AB435" s="28"/>
      <c r="CQ435" s="28"/>
      <c r="CR435" s="28"/>
      <c r="CS435" s="28"/>
      <c r="CT435" s="28"/>
    </row>
    <row r="436" spans="5:98" ht="12.75">
      <c r="E436" s="26"/>
      <c r="F436" s="26"/>
      <c r="H436" s="27"/>
      <c r="I436" s="27"/>
      <c r="S436" s="28"/>
      <c r="T436" s="28"/>
      <c r="V436" s="29"/>
      <c r="W436" s="29"/>
      <c r="AB436" s="28"/>
      <c r="CQ436" s="28"/>
      <c r="CR436" s="28"/>
      <c r="CS436" s="28"/>
      <c r="CT436" s="28"/>
    </row>
    <row r="437" spans="5:98" ht="12.75">
      <c r="E437" s="26"/>
      <c r="F437" s="26"/>
      <c r="H437" s="27"/>
      <c r="I437" s="27"/>
      <c r="S437" s="28"/>
      <c r="T437" s="28"/>
      <c r="V437" s="29"/>
      <c r="W437" s="29"/>
      <c r="AB437" s="28"/>
      <c r="CQ437" s="28"/>
      <c r="CR437" s="28"/>
      <c r="CS437" s="28"/>
      <c r="CT437" s="28"/>
    </row>
    <row r="438" spans="5:98" ht="12.75">
      <c r="E438" s="26"/>
      <c r="F438" s="26"/>
      <c r="H438" s="27"/>
      <c r="I438" s="27"/>
      <c r="S438" s="28"/>
      <c r="T438" s="28"/>
      <c r="V438" s="29"/>
      <c r="W438" s="29"/>
      <c r="AB438" s="28"/>
      <c r="CQ438" s="28"/>
      <c r="CR438" s="28"/>
      <c r="CS438" s="28"/>
      <c r="CT438" s="28"/>
    </row>
    <row r="439" spans="5:98" ht="12.75">
      <c r="E439" s="26"/>
      <c r="F439" s="26"/>
      <c r="H439" s="27"/>
      <c r="I439" s="27"/>
      <c r="S439" s="28"/>
      <c r="T439" s="28"/>
      <c r="V439" s="29"/>
      <c r="W439" s="29"/>
      <c r="AB439" s="28"/>
      <c r="CQ439" s="28"/>
      <c r="CR439" s="28"/>
      <c r="CS439" s="28"/>
      <c r="CT439" s="28"/>
    </row>
    <row r="440" spans="5:98" ht="12.75">
      <c r="E440" s="26"/>
      <c r="F440" s="26"/>
      <c r="H440" s="27"/>
      <c r="I440" s="27"/>
      <c r="S440" s="28"/>
      <c r="T440" s="28"/>
      <c r="V440" s="29"/>
      <c r="W440" s="29"/>
      <c r="AB440" s="28"/>
      <c r="CQ440" s="28"/>
      <c r="CR440" s="28"/>
      <c r="CS440" s="28"/>
      <c r="CT440" s="28"/>
    </row>
    <row r="441" spans="5:98" ht="12.75">
      <c r="E441" s="26"/>
      <c r="F441" s="26"/>
      <c r="H441" s="27"/>
      <c r="I441" s="27"/>
      <c r="S441" s="28"/>
      <c r="T441" s="28"/>
      <c r="V441" s="29"/>
      <c r="W441" s="29"/>
      <c r="AB441" s="28"/>
      <c r="CQ441" s="28"/>
      <c r="CR441" s="28"/>
      <c r="CS441" s="28"/>
      <c r="CT441" s="28"/>
    </row>
    <row r="442" spans="5:98" ht="12.75">
      <c r="E442" s="26"/>
      <c r="F442" s="26"/>
      <c r="H442" s="27"/>
      <c r="I442" s="27"/>
      <c r="S442" s="28"/>
      <c r="T442" s="28"/>
      <c r="V442" s="29"/>
      <c r="W442" s="29"/>
      <c r="AB442" s="28"/>
      <c r="CQ442" s="28"/>
      <c r="CR442" s="28"/>
      <c r="CS442" s="28"/>
      <c r="CT442" s="28"/>
    </row>
    <row r="443" spans="5:98" ht="12.75">
      <c r="E443" s="26"/>
      <c r="F443" s="26"/>
      <c r="H443" s="27"/>
      <c r="I443" s="27"/>
      <c r="S443" s="28"/>
      <c r="T443" s="28"/>
      <c r="V443" s="29"/>
      <c r="W443" s="29"/>
      <c r="AB443" s="28"/>
      <c r="CQ443" s="28"/>
      <c r="CR443" s="28"/>
      <c r="CS443" s="28"/>
      <c r="CT443" s="28"/>
    </row>
    <row r="444" spans="5:98" ht="12.75">
      <c r="E444" s="26"/>
      <c r="F444" s="26"/>
      <c r="H444" s="27"/>
      <c r="I444" s="27"/>
      <c r="S444" s="28"/>
      <c r="T444" s="28"/>
      <c r="V444" s="29"/>
      <c r="W444" s="29"/>
      <c r="AB444" s="28"/>
      <c r="CQ444" s="28"/>
      <c r="CR444" s="28"/>
      <c r="CS444" s="28"/>
      <c r="CT444" s="28"/>
    </row>
    <row r="445" spans="5:98" ht="12.75">
      <c r="E445" s="26"/>
      <c r="F445" s="26"/>
      <c r="H445" s="27"/>
      <c r="I445" s="27"/>
      <c r="S445" s="28"/>
      <c r="T445" s="28"/>
      <c r="V445" s="29"/>
      <c r="W445" s="29"/>
      <c r="AB445" s="28"/>
      <c r="CQ445" s="28"/>
      <c r="CR445" s="28"/>
      <c r="CS445" s="28"/>
      <c r="CT445" s="28"/>
    </row>
    <row r="446" spans="5:98" ht="12.75">
      <c r="E446" s="26"/>
      <c r="F446" s="26"/>
      <c r="H446" s="27"/>
      <c r="I446" s="27"/>
      <c r="S446" s="28"/>
      <c r="T446" s="28"/>
      <c r="V446" s="29"/>
      <c r="W446" s="29"/>
      <c r="AB446" s="28"/>
      <c r="CQ446" s="28"/>
      <c r="CR446" s="28"/>
      <c r="CS446" s="28"/>
      <c r="CT446" s="28"/>
    </row>
    <row r="447" spans="5:98" ht="12.75">
      <c r="E447" s="26"/>
      <c r="F447" s="26"/>
      <c r="H447" s="27"/>
      <c r="I447" s="27"/>
      <c r="S447" s="28"/>
      <c r="T447" s="28"/>
      <c r="V447" s="29"/>
      <c r="W447" s="29"/>
      <c r="AB447" s="28"/>
      <c r="CQ447" s="28"/>
      <c r="CR447" s="28"/>
      <c r="CS447" s="28"/>
      <c r="CT447" s="28"/>
    </row>
    <row r="448" spans="5:98" ht="12.75">
      <c r="E448" s="26"/>
      <c r="F448" s="26"/>
      <c r="H448" s="27"/>
      <c r="I448" s="27"/>
      <c r="S448" s="28"/>
      <c r="T448" s="28"/>
      <c r="V448" s="29"/>
      <c r="W448" s="29"/>
      <c r="AB448" s="28"/>
      <c r="CQ448" s="28"/>
      <c r="CR448" s="28"/>
      <c r="CS448" s="28"/>
      <c r="CT448" s="28"/>
    </row>
    <row r="449" spans="5:98" ht="12.75">
      <c r="E449" s="26"/>
      <c r="F449" s="26"/>
      <c r="H449" s="27"/>
      <c r="I449" s="27"/>
      <c r="S449" s="28"/>
      <c r="T449" s="28"/>
      <c r="V449" s="29"/>
      <c r="W449" s="29"/>
      <c r="AB449" s="28"/>
      <c r="CQ449" s="28"/>
      <c r="CR449" s="28"/>
      <c r="CS449" s="28"/>
      <c r="CT449" s="28"/>
    </row>
    <row r="450" spans="5:97" ht="12.75">
      <c r="E450" s="26"/>
      <c r="F450" s="26"/>
      <c r="H450" s="27"/>
      <c r="I450" s="27"/>
      <c r="S450" s="28"/>
      <c r="T450" s="28"/>
      <c r="V450" s="29"/>
      <c r="W450" s="29"/>
      <c r="AB450" s="28"/>
      <c r="CQ450" s="28"/>
      <c r="CR450" s="28"/>
      <c r="CS450" s="28"/>
    </row>
    <row r="451" spans="5:98" ht="12.75">
      <c r="E451" s="26"/>
      <c r="F451" s="26"/>
      <c r="H451" s="27"/>
      <c r="I451" s="27"/>
      <c r="S451" s="28"/>
      <c r="T451" s="28"/>
      <c r="V451" s="29"/>
      <c r="W451" s="29"/>
      <c r="AB451" s="28"/>
      <c r="CQ451" s="28"/>
      <c r="CR451" s="28"/>
      <c r="CS451" s="28"/>
      <c r="CT451" s="28"/>
    </row>
    <row r="452" spans="5:98" ht="12.75">
      <c r="E452" s="26"/>
      <c r="F452" s="26"/>
      <c r="H452" s="27"/>
      <c r="I452" s="27"/>
      <c r="S452" s="28"/>
      <c r="T452" s="28"/>
      <c r="V452" s="29"/>
      <c r="W452" s="29"/>
      <c r="AB452" s="28"/>
      <c r="CQ452" s="28"/>
      <c r="CR452" s="28"/>
      <c r="CS452" s="28"/>
      <c r="CT452" s="28"/>
    </row>
    <row r="453" spans="5:98" ht="12.75">
      <c r="E453" s="26"/>
      <c r="F453" s="26"/>
      <c r="H453" s="27"/>
      <c r="I453" s="27"/>
      <c r="S453" s="28"/>
      <c r="T453" s="28"/>
      <c r="V453" s="29"/>
      <c r="W453" s="29"/>
      <c r="AB453" s="28"/>
      <c r="CQ453" s="28"/>
      <c r="CR453" s="28"/>
      <c r="CS453" s="28"/>
      <c r="CT453" s="28"/>
    </row>
    <row r="454" spans="5:98" ht="12.75">
      <c r="E454" s="26"/>
      <c r="F454" s="26"/>
      <c r="H454" s="27"/>
      <c r="I454" s="27"/>
      <c r="S454" s="28"/>
      <c r="T454" s="28"/>
      <c r="V454" s="29"/>
      <c r="W454" s="29"/>
      <c r="CQ454" s="28"/>
      <c r="CR454" s="28"/>
      <c r="CS454" s="28"/>
      <c r="CT454" s="28"/>
    </row>
    <row r="455" spans="5:98" ht="12.75">
      <c r="E455" s="26"/>
      <c r="F455" s="26"/>
      <c r="H455" s="27"/>
      <c r="I455" s="27"/>
      <c r="S455" s="28"/>
      <c r="T455" s="28"/>
      <c r="V455" s="29"/>
      <c r="W455" s="29"/>
      <c r="AB455" s="28"/>
      <c r="CQ455" s="28"/>
      <c r="CR455" s="28"/>
      <c r="CS455" s="28"/>
      <c r="CT455" s="28"/>
    </row>
    <row r="456" spans="5:98" ht="12.75">
      <c r="E456" s="26"/>
      <c r="F456" s="26"/>
      <c r="H456" s="27"/>
      <c r="I456" s="27"/>
      <c r="S456" s="28"/>
      <c r="T456" s="28"/>
      <c r="V456" s="29"/>
      <c r="W456" s="29"/>
      <c r="AB456" s="28"/>
      <c r="CQ456" s="28"/>
      <c r="CR456" s="28"/>
      <c r="CS456" s="28"/>
      <c r="CT456" s="28"/>
    </row>
    <row r="457" spans="5:98" ht="12.75">
      <c r="E457" s="26"/>
      <c r="F457" s="26"/>
      <c r="H457" s="27"/>
      <c r="I457" s="27"/>
      <c r="S457" s="28"/>
      <c r="T457" s="28"/>
      <c r="V457" s="29"/>
      <c r="W457" s="29"/>
      <c r="AB457" s="28"/>
      <c r="CQ457" s="28"/>
      <c r="CR457" s="28"/>
      <c r="CS457" s="28"/>
      <c r="CT457" s="28"/>
    </row>
    <row r="458" spans="5:98" ht="12.75">
      <c r="E458" s="26"/>
      <c r="F458" s="26"/>
      <c r="H458" s="27"/>
      <c r="I458" s="27"/>
      <c r="S458" s="28"/>
      <c r="T458" s="28"/>
      <c r="V458" s="29"/>
      <c r="W458" s="29"/>
      <c r="AB458" s="28"/>
      <c r="CQ458" s="28"/>
      <c r="CR458" s="28"/>
      <c r="CS458" s="28"/>
      <c r="CT458" s="28"/>
    </row>
    <row r="459" spans="5:98" ht="12.75">
      <c r="E459" s="26"/>
      <c r="F459" s="26"/>
      <c r="H459" s="27"/>
      <c r="I459" s="27"/>
      <c r="S459" s="28"/>
      <c r="T459" s="28"/>
      <c r="V459" s="29"/>
      <c r="W459" s="29"/>
      <c r="AB459" s="28"/>
      <c r="CQ459" s="28"/>
      <c r="CR459" s="28"/>
      <c r="CS459" s="28"/>
      <c r="CT459" s="28"/>
    </row>
    <row r="460" spans="5:98" ht="12.75">
      <c r="E460" s="26"/>
      <c r="F460" s="26"/>
      <c r="H460" s="27"/>
      <c r="I460" s="27"/>
      <c r="S460" s="28"/>
      <c r="T460" s="28"/>
      <c r="V460" s="29"/>
      <c r="W460" s="29"/>
      <c r="AB460" s="28"/>
      <c r="CQ460" s="28"/>
      <c r="CR460" s="28"/>
      <c r="CS460" s="28"/>
      <c r="CT460" s="28"/>
    </row>
    <row r="461" spans="5:98" ht="12.75">
      <c r="E461" s="26"/>
      <c r="F461" s="26"/>
      <c r="H461" s="27"/>
      <c r="I461" s="27"/>
      <c r="S461" s="28"/>
      <c r="T461" s="28"/>
      <c r="V461" s="29"/>
      <c r="W461" s="29"/>
      <c r="AB461" s="28"/>
      <c r="CQ461" s="28"/>
      <c r="CR461" s="28"/>
      <c r="CS461" s="28"/>
      <c r="CT461" s="28"/>
    </row>
    <row r="462" spans="5:98" ht="12.75">
      <c r="E462" s="26"/>
      <c r="F462" s="26"/>
      <c r="H462" s="27"/>
      <c r="I462" s="27"/>
      <c r="S462" s="28"/>
      <c r="T462" s="28"/>
      <c r="V462" s="29"/>
      <c r="W462" s="29"/>
      <c r="AB462" s="28"/>
      <c r="CQ462" s="28"/>
      <c r="CR462" s="28"/>
      <c r="CS462" s="28"/>
      <c r="CT462" s="28"/>
    </row>
    <row r="463" spans="5:98" ht="12.75">
      <c r="E463" s="26"/>
      <c r="F463" s="26"/>
      <c r="H463" s="27"/>
      <c r="I463" s="27"/>
      <c r="S463" s="28"/>
      <c r="T463" s="28"/>
      <c r="V463" s="29"/>
      <c r="W463" s="29"/>
      <c r="AB463" s="28"/>
      <c r="CQ463" s="28"/>
      <c r="CR463" s="28"/>
      <c r="CS463" s="28"/>
      <c r="CT463" s="28"/>
    </row>
    <row r="464" spans="5:98" ht="12.75">
      <c r="E464" s="26"/>
      <c r="F464" s="26"/>
      <c r="H464" s="27"/>
      <c r="I464" s="27"/>
      <c r="S464" s="28"/>
      <c r="T464" s="28"/>
      <c r="V464" s="29"/>
      <c r="W464" s="29"/>
      <c r="AB464" s="28"/>
      <c r="CQ464" s="28"/>
      <c r="CR464" s="28"/>
      <c r="CS464" s="28"/>
      <c r="CT464" s="28"/>
    </row>
    <row r="465" spans="5:98" ht="12.75">
      <c r="E465" s="26"/>
      <c r="F465" s="26"/>
      <c r="H465" s="27"/>
      <c r="I465" s="27"/>
      <c r="S465" s="28"/>
      <c r="T465" s="28"/>
      <c r="V465" s="29"/>
      <c r="W465" s="29"/>
      <c r="AB465" s="28"/>
      <c r="CQ465" s="28"/>
      <c r="CR465" s="28"/>
      <c r="CS465" s="28"/>
      <c r="CT465" s="28"/>
    </row>
    <row r="466" spans="5:98" ht="12.75">
      <c r="E466" s="26"/>
      <c r="F466" s="26"/>
      <c r="H466" s="27"/>
      <c r="I466" s="27"/>
      <c r="S466" s="28"/>
      <c r="T466" s="28"/>
      <c r="V466" s="29"/>
      <c r="W466" s="29"/>
      <c r="AB466" s="28"/>
      <c r="CQ466" s="28"/>
      <c r="CR466" s="28"/>
      <c r="CS466" s="28"/>
      <c r="CT466" s="28"/>
    </row>
    <row r="467" spans="5:98" ht="12.75">
      <c r="E467" s="26"/>
      <c r="F467" s="26"/>
      <c r="H467" s="27"/>
      <c r="I467" s="27"/>
      <c r="S467" s="28"/>
      <c r="T467" s="28"/>
      <c r="V467" s="29"/>
      <c r="W467" s="29"/>
      <c r="AB467" s="28"/>
      <c r="CQ467" s="28"/>
      <c r="CR467" s="28"/>
      <c r="CS467" s="28"/>
      <c r="CT467" s="28"/>
    </row>
    <row r="468" spans="5:98" ht="12.75">
      <c r="E468" s="26"/>
      <c r="F468" s="26"/>
      <c r="H468" s="27"/>
      <c r="I468" s="27"/>
      <c r="S468" s="28"/>
      <c r="T468" s="28"/>
      <c r="V468" s="29"/>
      <c r="W468" s="29"/>
      <c r="AB468" s="28"/>
      <c r="CQ468" s="28"/>
      <c r="CR468" s="28"/>
      <c r="CS468" s="28"/>
      <c r="CT468" s="28"/>
    </row>
    <row r="469" spans="5:98" ht="12.75">
      <c r="E469" s="26"/>
      <c r="F469" s="26"/>
      <c r="H469" s="27"/>
      <c r="I469" s="27"/>
      <c r="S469" s="28"/>
      <c r="T469" s="28"/>
      <c r="V469" s="29"/>
      <c r="W469" s="29"/>
      <c r="AB469" s="28"/>
      <c r="CQ469" s="28"/>
      <c r="CR469" s="28"/>
      <c r="CS469" s="28"/>
      <c r="CT469" s="28"/>
    </row>
    <row r="470" spans="5:98" ht="12.75">
      <c r="E470" s="26"/>
      <c r="F470" s="26"/>
      <c r="H470" s="27"/>
      <c r="I470" s="27"/>
      <c r="S470" s="28"/>
      <c r="T470" s="28"/>
      <c r="V470" s="29"/>
      <c r="W470" s="29"/>
      <c r="AB470" s="28"/>
      <c r="CQ470" s="28"/>
      <c r="CR470" s="28"/>
      <c r="CS470" s="28"/>
      <c r="CT470" s="28"/>
    </row>
    <row r="471" spans="5:98" ht="12.75">
      <c r="E471" s="26"/>
      <c r="F471" s="26"/>
      <c r="H471" s="27"/>
      <c r="I471" s="27"/>
      <c r="S471" s="28"/>
      <c r="T471" s="28"/>
      <c r="V471" s="29"/>
      <c r="W471" s="29"/>
      <c r="AB471" s="28"/>
      <c r="CQ471" s="28"/>
      <c r="CR471" s="28"/>
      <c r="CS471" s="28"/>
      <c r="CT471" s="28"/>
    </row>
    <row r="472" spans="5:98" ht="12.75">
      <c r="E472" s="26"/>
      <c r="F472" s="26"/>
      <c r="H472" s="27"/>
      <c r="I472" s="27"/>
      <c r="S472" s="28"/>
      <c r="T472" s="28"/>
      <c r="V472" s="29"/>
      <c r="W472" s="29"/>
      <c r="AB472" s="28"/>
      <c r="CQ472" s="28"/>
      <c r="CR472" s="28"/>
      <c r="CS472" s="28"/>
      <c r="CT472" s="28"/>
    </row>
    <row r="473" spans="5:98" ht="12.75">
      <c r="E473" s="26"/>
      <c r="F473" s="26"/>
      <c r="H473" s="27"/>
      <c r="I473" s="27"/>
      <c r="S473" s="28"/>
      <c r="T473" s="28"/>
      <c r="V473" s="29"/>
      <c r="W473" s="29"/>
      <c r="AB473" s="28"/>
      <c r="CQ473" s="28"/>
      <c r="CR473" s="28"/>
      <c r="CS473" s="28"/>
      <c r="CT473" s="28"/>
    </row>
    <row r="474" spans="5:98" ht="12.75">
      <c r="E474" s="26"/>
      <c r="F474" s="26"/>
      <c r="H474" s="27"/>
      <c r="I474" s="27"/>
      <c r="S474" s="28"/>
      <c r="T474" s="28"/>
      <c r="V474" s="29"/>
      <c r="W474" s="29"/>
      <c r="AB474" s="28"/>
      <c r="CQ474" s="28"/>
      <c r="CR474" s="28"/>
      <c r="CS474" s="28"/>
      <c r="CT474" s="28"/>
    </row>
    <row r="475" spans="5:98" ht="12.75">
      <c r="E475" s="26"/>
      <c r="F475" s="26"/>
      <c r="H475" s="27"/>
      <c r="I475" s="27"/>
      <c r="S475" s="28"/>
      <c r="T475" s="28"/>
      <c r="V475" s="29"/>
      <c r="W475" s="29"/>
      <c r="AB475" s="28"/>
      <c r="CQ475" s="28"/>
      <c r="CR475" s="28"/>
      <c r="CS475" s="28"/>
      <c r="CT475" s="28"/>
    </row>
    <row r="476" spans="5:98" ht="12.75">
      <c r="E476" s="26"/>
      <c r="F476" s="26"/>
      <c r="H476" s="27"/>
      <c r="I476" s="27"/>
      <c r="S476" s="28"/>
      <c r="T476" s="28"/>
      <c r="V476" s="29"/>
      <c r="W476" s="29"/>
      <c r="AB476" s="28"/>
      <c r="CQ476" s="28"/>
      <c r="CR476" s="28"/>
      <c r="CS476" s="28"/>
      <c r="CT476" s="28"/>
    </row>
    <row r="477" spans="5:98" ht="12.75">
      <c r="E477" s="26"/>
      <c r="F477" s="26"/>
      <c r="H477" s="27"/>
      <c r="I477" s="27"/>
      <c r="S477" s="28"/>
      <c r="T477" s="28"/>
      <c r="V477" s="29"/>
      <c r="W477" s="29"/>
      <c r="AB477" s="28"/>
      <c r="CQ477" s="28"/>
      <c r="CR477" s="28"/>
      <c r="CS477" s="28"/>
      <c r="CT477" s="28"/>
    </row>
    <row r="478" spans="5:98" ht="12.75">
      <c r="E478" s="26"/>
      <c r="F478" s="26"/>
      <c r="H478" s="27"/>
      <c r="I478" s="27"/>
      <c r="S478" s="28"/>
      <c r="T478" s="28"/>
      <c r="V478" s="29"/>
      <c r="W478" s="29"/>
      <c r="AB478" s="28"/>
      <c r="CQ478" s="28"/>
      <c r="CR478" s="28"/>
      <c r="CS478" s="28"/>
      <c r="CT478" s="28"/>
    </row>
    <row r="479" spans="5:98" ht="12.75">
      <c r="E479" s="26"/>
      <c r="F479" s="26"/>
      <c r="H479" s="27"/>
      <c r="I479" s="27"/>
      <c r="S479" s="28"/>
      <c r="T479" s="28"/>
      <c r="V479" s="29"/>
      <c r="W479" s="29"/>
      <c r="AB479" s="28"/>
      <c r="CQ479" s="28"/>
      <c r="CR479" s="28"/>
      <c r="CS479" s="28"/>
      <c r="CT479" s="28"/>
    </row>
    <row r="480" spans="5:98" ht="12.75">
      <c r="E480" s="26"/>
      <c r="F480" s="26"/>
      <c r="H480" s="27"/>
      <c r="I480" s="27"/>
      <c r="S480" s="28"/>
      <c r="T480" s="28"/>
      <c r="V480" s="29"/>
      <c r="W480" s="29"/>
      <c r="AB480" s="28"/>
      <c r="CQ480" s="28"/>
      <c r="CR480" s="28"/>
      <c r="CS480" s="28"/>
      <c r="CT480" s="28"/>
    </row>
    <row r="481" spans="5:98" ht="12.75">
      <c r="E481" s="26"/>
      <c r="F481" s="26"/>
      <c r="H481" s="27"/>
      <c r="I481" s="27"/>
      <c r="S481" s="28"/>
      <c r="T481" s="28"/>
      <c r="V481" s="29"/>
      <c r="W481" s="29"/>
      <c r="AB481" s="28"/>
      <c r="CQ481" s="28"/>
      <c r="CR481" s="28"/>
      <c r="CS481" s="28"/>
      <c r="CT481" s="28"/>
    </row>
    <row r="482" spans="5:98" ht="12.75">
      <c r="E482" s="26"/>
      <c r="F482" s="26"/>
      <c r="H482" s="27"/>
      <c r="I482" s="27"/>
      <c r="S482" s="28"/>
      <c r="T482" s="28"/>
      <c r="V482" s="29"/>
      <c r="W482" s="29"/>
      <c r="AB482" s="28"/>
      <c r="CQ482" s="28"/>
      <c r="CR482" s="28"/>
      <c r="CS482" s="28"/>
      <c r="CT482" s="28"/>
    </row>
    <row r="483" spans="5:98" ht="12.75">
      <c r="E483" s="26"/>
      <c r="F483" s="26"/>
      <c r="H483" s="27"/>
      <c r="I483" s="27"/>
      <c r="S483" s="28"/>
      <c r="T483" s="28"/>
      <c r="V483" s="29"/>
      <c r="W483" s="29"/>
      <c r="AB483" s="28"/>
      <c r="CQ483" s="28"/>
      <c r="CR483" s="28"/>
      <c r="CS483" s="28"/>
      <c r="CT483" s="28"/>
    </row>
    <row r="484" spans="5:98" ht="12.75">
      <c r="E484" s="26"/>
      <c r="F484" s="26"/>
      <c r="H484" s="27"/>
      <c r="I484" s="27"/>
      <c r="S484" s="28"/>
      <c r="T484" s="28"/>
      <c r="V484" s="29"/>
      <c r="W484" s="29"/>
      <c r="AB484" s="28"/>
      <c r="CQ484" s="28"/>
      <c r="CR484" s="28"/>
      <c r="CS484" s="28"/>
      <c r="CT484" s="28"/>
    </row>
    <row r="485" spans="5:98" ht="12.75">
      <c r="E485" s="26"/>
      <c r="F485" s="26"/>
      <c r="H485" s="27"/>
      <c r="I485" s="27"/>
      <c r="S485" s="28"/>
      <c r="T485" s="28"/>
      <c r="V485" s="29"/>
      <c r="W485" s="29"/>
      <c r="AB485" s="28"/>
      <c r="CQ485" s="28"/>
      <c r="CR485" s="28"/>
      <c r="CS485" s="28"/>
      <c r="CT485" s="28"/>
    </row>
    <row r="486" spans="5:98" ht="12.75">
      <c r="E486" s="26"/>
      <c r="F486" s="26"/>
      <c r="H486" s="27"/>
      <c r="I486" s="27"/>
      <c r="S486" s="28"/>
      <c r="T486" s="28"/>
      <c r="V486" s="29"/>
      <c r="W486" s="29"/>
      <c r="AB486" s="28"/>
      <c r="CQ486" s="28"/>
      <c r="CR486" s="28"/>
      <c r="CS486" s="28"/>
      <c r="CT486" s="28"/>
    </row>
    <row r="487" spans="5:98" ht="12.75">
      <c r="E487" s="26"/>
      <c r="F487" s="26"/>
      <c r="H487" s="27"/>
      <c r="I487" s="27"/>
      <c r="S487" s="28"/>
      <c r="T487" s="28"/>
      <c r="V487" s="29"/>
      <c r="W487" s="29"/>
      <c r="AB487" s="28"/>
      <c r="CQ487" s="28"/>
      <c r="CR487" s="28"/>
      <c r="CS487" s="28"/>
      <c r="CT487" s="28"/>
    </row>
    <row r="488" spans="5:98" ht="12.75">
      <c r="E488" s="26"/>
      <c r="F488" s="26"/>
      <c r="H488" s="27"/>
      <c r="I488" s="27"/>
      <c r="S488" s="28"/>
      <c r="T488" s="28"/>
      <c r="V488" s="29"/>
      <c r="W488" s="29"/>
      <c r="AB488" s="28"/>
      <c r="CQ488" s="28"/>
      <c r="CR488" s="28"/>
      <c r="CS488" s="28"/>
      <c r="CT488" s="28"/>
    </row>
    <row r="489" spans="5:98" ht="12.75">
      <c r="E489" s="26"/>
      <c r="F489" s="26"/>
      <c r="H489" s="27"/>
      <c r="I489" s="27"/>
      <c r="S489" s="28"/>
      <c r="T489" s="28"/>
      <c r="V489" s="29"/>
      <c r="W489" s="29"/>
      <c r="AB489" s="28"/>
      <c r="CQ489" s="28"/>
      <c r="CR489" s="28"/>
      <c r="CS489" s="28"/>
      <c r="CT489" s="28"/>
    </row>
    <row r="490" spans="5:97" ht="12.75">
      <c r="E490" s="26"/>
      <c r="F490" s="26"/>
      <c r="H490" s="27"/>
      <c r="I490" s="27"/>
      <c r="S490" s="28"/>
      <c r="T490" s="28"/>
      <c r="V490" s="29"/>
      <c r="W490" s="29"/>
      <c r="AB490" s="28"/>
      <c r="CQ490" s="28"/>
      <c r="CR490" s="28"/>
      <c r="CS490" s="28"/>
    </row>
    <row r="491" spans="5:97" ht="12.75">
      <c r="E491" s="26"/>
      <c r="F491" s="26"/>
      <c r="H491" s="27"/>
      <c r="I491" s="27"/>
      <c r="S491" s="28"/>
      <c r="T491" s="28"/>
      <c r="V491" s="29"/>
      <c r="W491" s="29"/>
      <c r="AB491" s="28"/>
      <c r="CQ491" s="28"/>
      <c r="CR491" s="28"/>
      <c r="CS491" s="28"/>
    </row>
    <row r="492" spans="5:97" ht="12.75">
      <c r="E492" s="26"/>
      <c r="F492" s="26"/>
      <c r="G492" s="28"/>
      <c r="H492" s="27"/>
      <c r="I492" s="27"/>
      <c r="J492" s="28"/>
      <c r="K492" s="28"/>
      <c r="L492" s="28"/>
      <c r="O492" s="28"/>
      <c r="P492" s="28"/>
      <c r="Q492" s="28"/>
      <c r="R492" s="28"/>
      <c r="S492" s="28"/>
      <c r="T492" s="28"/>
      <c r="U492" s="28"/>
      <c r="V492" s="28"/>
      <c r="W492" s="28"/>
      <c r="AB492" s="28"/>
      <c r="AC492" s="28"/>
      <c r="AD492" s="28"/>
      <c r="AE492" s="28"/>
      <c r="AG492" s="28"/>
      <c r="AH492" s="28"/>
      <c r="AI492" s="28"/>
      <c r="AJ492" s="28"/>
      <c r="AK492" s="28"/>
      <c r="CP492" s="28"/>
      <c r="CQ492" s="28"/>
      <c r="CR492" s="28"/>
      <c r="CS492" s="28"/>
    </row>
    <row r="493" spans="5:97" ht="12.75">
      <c r="E493" s="26"/>
      <c r="F493" s="26"/>
      <c r="H493" s="27"/>
      <c r="I493" s="27"/>
      <c r="S493" s="28"/>
      <c r="T493" s="28"/>
      <c r="V493" s="29"/>
      <c r="W493" s="29"/>
      <c r="AB493" s="28"/>
      <c r="CQ493" s="28"/>
      <c r="CR493" s="28"/>
      <c r="CS493" s="28"/>
    </row>
    <row r="494" spans="5:97" ht="12.75">
      <c r="E494" s="26"/>
      <c r="F494" s="26"/>
      <c r="H494" s="27"/>
      <c r="I494" s="27"/>
      <c r="S494" s="28"/>
      <c r="T494" s="28"/>
      <c r="V494" s="29"/>
      <c r="W494" s="29"/>
      <c r="AB494" s="28"/>
      <c r="CQ494" s="28"/>
      <c r="CR494" s="28"/>
      <c r="CS494" s="28"/>
    </row>
    <row r="495" spans="5:97" ht="12.75">
      <c r="E495" s="26"/>
      <c r="F495" s="26"/>
      <c r="H495" s="27"/>
      <c r="I495" s="27"/>
      <c r="S495" s="28"/>
      <c r="T495" s="28"/>
      <c r="V495" s="29"/>
      <c r="W495" s="29"/>
      <c r="AB495" s="28"/>
      <c r="CQ495" s="28"/>
      <c r="CR495" s="28"/>
      <c r="CS495" s="28"/>
    </row>
    <row r="496" spans="5:97" ht="12.75">
      <c r="E496" s="26"/>
      <c r="F496" s="26"/>
      <c r="H496" s="27"/>
      <c r="I496" s="27"/>
      <c r="S496" s="28"/>
      <c r="T496" s="28"/>
      <c r="V496" s="29"/>
      <c r="W496" s="29"/>
      <c r="AB496" s="28"/>
      <c r="CQ496" s="28"/>
      <c r="CR496" s="28"/>
      <c r="CS496" s="28"/>
    </row>
    <row r="497" spans="5:97" ht="12.75">
      <c r="E497" s="26"/>
      <c r="F497" s="26"/>
      <c r="H497" s="27"/>
      <c r="I497" s="27"/>
      <c r="S497" s="28"/>
      <c r="T497" s="28"/>
      <c r="V497" s="29"/>
      <c r="W497" s="29"/>
      <c r="AB497" s="28"/>
      <c r="CQ497" s="28"/>
      <c r="CR497" s="28"/>
      <c r="CS497" s="28"/>
    </row>
    <row r="498" spans="5:97" ht="12.75">
      <c r="E498" s="26"/>
      <c r="F498" s="26"/>
      <c r="H498" s="27"/>
      <c r="I498" s="27"/>
      <c r="S498" s="28"/>
      <c r="T498" s="28"/>
      <c r="V498" s="29"/>
      <c r="W498" s="29"/>
      <c r="AB498" s="28"/>
      <c r="CQ498" s="28"/>
      <c r="CR498" s="28"/>
      <c r="CS498" s="28"/>
    </row>
    <row r="499" spans="5:97" ht="12.75">
      <c r="E499" s="26"/>
      <c r="F499" s="26"/>
      <c r="H499" s="27"/>
      <c r="I499" s="27"/>
      <c r="S499" s="28"/>
      <c r="T499" s="28"/>
      <c r="V499" s="29"/>
      <c r="W499" s="29"/>
      <c r="AB499" s="28"/>
      <c r="CQ499" s="28"/>
      <c r="CR499" s="28"/>
      <c r="CS499" s="28"/>
    </row>
    <row r="500" spans="5:97" ht="12.75">
      <c r="E500" s="26"/>
      <c r="F500" s="26"/>
      <c r="H500" s="27"/>
      <c r="I500" s="27"/>
      <c r="S500" s="28"/>
      <c r="T500" s="28"/>
      <c r="V500" s="29"/>
      <c r="W500" s="29"/>
      <c r="AB500" s="28"/>
      <c r="CQ500" s="28"/>
      <c r="CR500" s="28"/>
      <c r="CS500" s="28"/>
    </row>
    <row r="501" spans="5:97" ht="12.75">
      <c r="E501" s="26"/>
      <c r="F501" s="26"/>
      <c r="H501" s="27"/>
      <c r="I501" s="27"/>
      <c r="S501" s="28"/>
      <c r="T501" s="28"/>
      <c r="V501" s="29"/>
      <c r="W501" s="29"/>
      <c r="AB501" s="28"/>
      <c r="CQ501" s="28"/>
      <c r="CR501" s="28"/>
      <c r="CS501" s="28"/>
    </row>
    <row r="502" spans="5:97" ht="12.75">
      <c r="E502" s="26"/>
      <c r="F502" s="26"/>
      <c r="H502" s="27"/>
      <c r="I502" s="27"/>
      <c r="S502" s="28"/>
      <c r="T502" s="28"/>
      <c r="V502" s="29"/>
      <c r="W502" s="29"/>
      <c r="AB502" s="28"/>
      <c r="CQ502" s="28"/>
      <c r="CR502" s="28"/>
      <c r="CS502" s="28"/>
    </row>
    <row r="503" spans="5:97" ht="12.75">
      <c r="E503" s="26"/>
      <c r="F503" s="26"/>
      <c r="H503" s="27"/>
      <c r="I503" s="27"/>
      <c r="S503" s="28"/>
      <c r="T503" s="28"/>
      <c r="V503" s="29"/>
      <c r="W503" s="29"/>
      <c r="AB503" s="28"/>
      <c r="CQ503" s="28"/>
      <c r="CR503" s="28"/>
      <c r="CS503" s="28"/>
    </row>
    <row r="504" spans="5:97" ht="12.75">
      <c r="E504" s="26"/>
      <c r="F504" s="26"/>
      <c r="H504" s="27"/>
      <c r="I504" s="27"/>
      <c r="S504" s="28"/>
      <c r="T504" s="28"/>
      <c r="V504" s="29"/>
      <c r="W504" s="29"/>
      <c r="AB504" s="28"/>
      <c r="CQ504" s="28"/>
      <c r="CR504" s="28"/>
      <c r="CS504" s="28"/>
    </row>
    <row r="505" spans="5:97" ht="12.75">
      <c r="E505" s="26"/>
      <c r="F505" s="26"/>
      <c r="H505" s="27"/>
      <c r="I505" s="27"/>
      <c r="S505" s="28"/>
      <c r="T505" s="28"/>
      <c r="V505" s="29"/>
      <c r="W505" s="29"/>
      <c r="AB505" s="28"/>
      <c r="CQ505" s="28"/>
      <c r="CR505" s="28"/>
      <c r="CS505" s="28"/>
    </row>
    <row r="506" spans="5:97" ht="12.75">
      <c r="E506" s="26"/>
      <c r="F506" s="26"/>
      <c r="H506" s="27"/>
      <c r="I506" s="27"/>
      <c r="S506" s="28"/>
      <c r="T506" s="28"/>
      <c r="V506" s="29"/>
      <c r="W506" s="29"/>
      <c r="AB506" s="28"/>
      <c r="CQ506" s="28"/>
      <c r="CR506" s="28"/>
      <c r="CS506" s="28"/>
    </row>
    <row r="507" spans="5:97" ht="12.75">
      <c r="E507" s="26"/>
      <c r="F507" s="26"/>
      <c r="H507" s="27"/>
      <c r="I507" s="27"/>
      <c r="S507" s="28"/>
      <c r="T507" s="28"/>
      <c r="V507" s="29"/>
      <c r="W507" s="29"/>
      <c r="AB507" s="28"/>
      <c r="CQ507" s="28"/>
      <c r="CR507" s="28"/>
      <c r="CS507" s="28"/>
    </row>
    <row r="508" spans="5:97" ht="12.75">
      <c r="E508" s="26"/>
      <c r="F508" s="26"/>
      <c r="H508" s="27"/>
      <c r="I508" s="27"/>
      <c r="S508" s="28"/>
      <c r="T508" s="28"/>
      <c r="V508" s="29"/>
      <c r="W508" s="29"/>
      <c r="AB508" s="28"/>
      <c r="CQ508" s="28"/>
      <c r="CR508" s="28"/>
      <c r="CS508" s="28"/>
    </row>
    <row r="509" spans="5:97" ht="12.75">
      <c r="E509" s="26"/>
      <c r="F509" s="26"/>
      <c r="H509" s="27"/>
      <c r="I509" s="27"/>
      <c r="S509" s="28"/>
      <c r="T509" s="28"/>
      <c r="V509" s="29"/>
      <c r="W509" s="29"/>
      <c r="AB509" s="28"/>
      <c r="CQ509" s="28"/>
      <c r="CR509" s="28"/>
      <c r="CS509" s="28"/>
    </row>
    <row r="510" spans="5:97" ht="12.75">
      <c r="E510" s="26"/>
      <c r="F510" s="26"/>
      <c r="H510" s="27"/>
      <c r="I510" s="27"/>
      <c r="S510" s="28"/>
      <c r="T510" s="28"/>
      <c r="V510" s="29"/>
      <c r="W510" s="29"/>
      <c r="AB510" s="28"/>
      <c r="CQ510" s="28"/>
      <c r="CR510" s="28"/>
      <c r="CS510" s="28"/>
    </row>
    <row r="511" spans="5:97" ht="12.75">
      <c r="E511" s="26"/>
      <c r="F511" s="26"/>
      <c r="H511" s="27"/>
      <c r="I511" s="27"/>
      <c r="S511" s="28"/>
      <c r="T511" s="28"/>
      <c r="V511" s="29"/>
      <c r="W511" s="29"/>
      <c r="AB511" s="28"/>
      <c r="CQ511" s="28"/>
      <c r="CR511" s="28"/>
      <c r="CS511" s="28"/>
    </row>
    <row r="512" spans="5:97" ht="12.75">
      <c r="E512" s="26"/>
      <c r="F512" s="26"/>
      <c r="H512" s="27"/>
      <c r="I512" s="27"/>
      <c r="S512" s="28"/>
      <c r="T512" s="28"/>
      <c r="V512" s="29"/>
      <c r="W512" s="29"/>
      <c r="AB512" s="28"/>
      <c r="CQ512" s="28"/>
      <c r="CR512" s="28"/>
      <c r="CS512" s="28"/>
    </row>
    <row r="513" spans="5:97" ht="12.75">
      <c r="E513" s="26"/>
      <c r="F513" s="26"/>
      <c r="H513" s="27"/>
      <c r="I513" s="27"/>
      <c r="S513" s="28"/>
      <c r="T513" s="28"/>
      <c r="V513" s="29"/>
      <c r="W513" s="29"/>
      <c r="AB513" s="28"/>
      <c r="CQ513" s="28"/>
      <c r="CR513" s="28"/>
      <c r="CS513" s="28"/>
    </row>
    <row r="514" spans="5:97" ht="12.75">
      <c r="E514" s="26"/>
      <c r="F514" s="26"/>
      <c r="H514" s="27"/>
      <c r="I514" s="27"/>
      <c r="S514" s="28"/>
      <c r="T514" s="28"/>
      <c r="V514" s="29"/>
      <c r="W514" s="29"/>
      <c r="AB514" s="28"/>
      <c r="CQ514" s="28"/>
      <c r="CR514" s="28"/>
      <c r="CS514" s="28"/>
    </row>
    <row r="515" spans="5:97" ht="12.75">
      <c r="E515" s="26"/>
      <c r="F515" s="26"/>
      <c r="H515" s="27"/>
      <c r="I515" s="27"/>
      <c r="S515" s="28"/>
      <c r="T515" s="28"/>
      <c r="V515" s="29"/>
      <c r="W515" s="29"/>
      <c r="AB515" s="28"/>
      <c r="CQ515" s="28"/>
      <c r="CR515" s="28"/>
      <c r="CS515" s="28"/>
    </row>
    <row r="516" spans="5:97" ht="12.75">
      <c r="E516" s="26"/>
      <c r="F516" s="26"/>
      <c r="H516" s="27"/>
      <c r="I516" s="27"/>
      <c r="S516" s="28"/>
      <c r="T516" s="28"/>
      <c r="V516" s="29"/>
      <c r="W516" s="29"/>
      <c r="AB516" s="28"/>
      <c r="CQ516" s="28"/>
      <c r="CR516" s="28"/>
      <c r="CS516" s="28"/>
    </row>
    <row r="517" spans="5:97" ht="12.75">
      <c r="E517" s="26"/>
      <c r="F517" s="26"/>
      <c r="H517" s="27"/>
      <c r="I517" s="27"/>
      <c r="S517" s="28"/>
      <c r="T517" s="28"/>
      <c r="V517" s="29"/>
      <c r="W517" s="29"/>
      <c r="AB517" s="28"/>
      <c r="CQ517" s="28"/>
      <c r="CR517" s="28"/>
      <c r="CS517" s="28"/>
    </row>
    <row r="518" spans="5:97" ht="12.75">
      <c r="E518" s="26"/>
      <c r="F518" s="26"/>
      <c r="H518" s="27"/>
      <c r="I518" s="27"/>
      <c r="S518" s="28"/>
      <c r="T518" s="28"/>
      <c r="V518" s="29"/>
      <c r="W518" s="29"/>
      <c r="AB518" s="28"/>
      <c r="CQ518" s="28"/>
      <c r="CR518" s="28"/>
      <c r="CS518" s="28"/>
    </row>
    <row r="519" spans="5:97" ht="12.75">
      <c r="E519" s="26"/>
      <c r="F519" s="26"/>
      <c r="H519" s="27"/>
      <c r="I519" s="27"/>
      <c r="S519" s="28"/>
      <c r="T519" s="28"/>
      <c r="V519" s="29"/>
      <c r="W519" s="29"/>
      <c r="AB519" s="28"/>
      <c r="CQ519" s="28"/>
      <c r="CR519" s="28"/>
      <c r="CS519" s="28"/>
    </row>
    <row r="520" spans="5:97" ht="12.75">
      <c r="E520" s="26"/>
      <c r="F520" s="26"/>
      <c r="H520" s="27"/>
      <c r="I520" s="27"/>
      <c r="S520" s="28"/>
      <c r="T520" s="28"/>
      <c r="V520" s="29"/>
      <c r="W520" s="29"/>
      <c r="AB520" s="28"/>
      <c r="CQ520" s="28"/>
      <c r="CR520" s="28"/>
      <c r="CS520" s="28"/>
    </row>
    <row r="521" spans="5:97" ht="12.75">
      <c r="E521" s="26"/>
      <c r="F521" s="26"/>
      <c r="H521" s="27"/>
      <c r="I521" s="27"/>
      <c r="S521" s="28"/>
      <c r="T521" s="28"/>
      <c r="V521" s="29"/>
      <c r="W521" s="29"/>
      <c r="AB521" s="28"/>
      <c r="CQ521" s="28"/>
      <c r="CR521" s="28"/>
      <c r="CS521" s="28"/>
    </row>
    <row r="522" spans="5:97" ht="12.75">
      <c r="E522" s="26"/>
      <c r="F522" s="26"/>
      <c r="H522" s="27"/>
      <c r="I522" s="27"/>
      <c r="S522" s="28"/>
      <c r="T522" s="28"/>
      <c r="V522" s="29"/>
      <c r="W522" s="29"/>
      <c r="AB522" s="28"/>
      <c r="CQ522" s="28"/>
      <c r="CR522" s="28"/>
      <c r="CS522" s="28"/>
    </row>
    <row r="523" spans="5:97" ht="12.75">
      <c r="E523" s="26"/>
      <c r="F523" s="26"/>
      <c r="H523" s="27"/>
      <c r="I523" s="27"/>
      <c r="S523" s="28"/>
      <c r="T523" s="28"/>
      <c r="V523" s="29"/>
      <c r="W523" s="29"/>
      <c r="AB523" s="28"/>
      <c r="CQ523" s="28"/>
      <c r="CR523" s="28"/>
      <c r="CS523" s="28"/>
    </row>
    <row r="524" spans="5:97" ht="12.75">
      <c r="E524" s="26"/>
      <c r="F524" s="26"/>
      <c r="H524" s="27"/>
      <c r="I524" s="27"/>
      <c r="S524" s="28"/>
      <c r="T524" s="28"/>
      <c r="V524" s="29"/>
      <c r="W524" s="29"/>
      <c r="AB524" s="28"/>
      <c r="CQ524" s="28"/>
      <c r="CR524" s="28"/>
      <c r="CS524" s="28"/>
    </row>
    <row r="525" spans="5:97" ht="12.75">
      <c r="E525" s="26"/>
      <c r="F525" s="26"/>
      <c r="H525" s="27"/>
      <c r="I525" s="27"/>
      <c r="S525" s="28"/>
      <c r="T525" s="28"/>
      <c r="V525" s="29"/>
      <c r="W525" s="29"/>
      <c r="AB525" s="28"/>
      <c r="CQ525" s="28"/>
      <c r="CR525" s="28"/>
      <c r="CS525" s="28"/>
    </row>
    <row r="526" spans="5:97" ht="12.75">
      <c r="E526" s="26"/>
      <c r="F526" s="26"/>
      <c r="H526" s="27"/>
      <c r="I526" s="27"/>
      <c r="S526" s="28"/>
      <c r="T526" s="28"/>
      <c r="V526" s="29"/>
      <c r="W526" s="29"/>
      <c r="AB526" s="28"/>
      <c r="CQ526" s="28"/>
      <c r="CR526" s="28"/>
      <c r="CS526" s="28"/>
    </row>
    <row r="527" spans="5:97" ht="12.75">
      <c r="E527" s="26"/>
      <c r="F527" s="26"/>
      <c r="H527" s="27"/>
      <c r="I527" s="27"/>
      <c r="S527" s="28"/>
      <c r="T527" s="28"/>
      <c r="V527" s="29"/>
      <c r="W527" s="29"/>
      <c r="AB527" s="28"/>
      <c r="CQ527" s="28"/>
      <c r="CR527" s="28"/>
      <c r="CS527" s="28"/>
    </row>
    <row r="528" spans="5:97" ht="12.75">
      <c r="E528" s="26"/>
      <c r="F528" s="26"/>
      <c r="H528" s="27"/>
      <c r="I528" s="27"/>
      <c r="S528" s="28"/>
      <c r="T528" s="28"/>
      <c r="V528" s="29"/>
      <c r="W528" s="29"/>
      <c r="AB528" s="28"/>
      <c r="CQ528" s="28"/>
      <c r="CR528" s="28"/>
      <c r="CS528" s="28"/>
    </row>
    <row r="529" spans="5:97" ht="12.75">
      <c r="E529" s="26"/>
      <c r="F529" s="26"/>
      <c r="H529" s="27"/>
      <c r="I529" s="27"/>
      <c r="S529" s="28"/>
      <c r="T529" s="28"/>
      <c r="V529" s="29"/>
      <c r="W529" s="29"/>
      <c r="AB529" s="28"/>
      <c r="CQ529" s="28"/>
      <c r="CR529" s="28"/>
      <c r="CS529" s="28"/>
    </row>
    <row r="530" spans="5:97" ht="12.75">
      <c r="E530" s="26"/>
      <c r="F530" s="26"/>
      <c r="H530" s="27"/>
      <c r="I530" s="27"/>
      <c r="S530" s="28"/>
      <c r="T530" s="28"/>
      <c r="V530" s="29"/>
      <c r="W530" s="29"/>
      <c r="AB530" s="28"/>
      <c r="CQ530" s="28"/>
      <c r="CR530" s="28"/>
      <c r="CS530" s="28"/>
    </row>
    <row r="531" spans="5:97" ht="12.75">
      <c r="E531" s="26"/>
      <c r="F531" s="26"/>
      <c r="H531" s="27"/>
      <c r="I531" s="27"/>
      <c r="S531" s="28"/>
      <c r="T531" s="28"/>
      <c r="V531" s="29"/>
      <c r="W531" s="29"/>
      <c r="AB531" s="28"/>
      <c r="CQ531" s="28"/>
      <c r="CR531" s="28"/>
      <c r="CS531" s="28"/>
    </row>
    <row r="532" spans="5:97" ht="12.75">
      <c r="E532" s="26"/>
      <c r="F532" s="26"/>
      <c r="H532" s="27"/>
      <c r="I532" s="27"/>
      <c r="S532" s="28"/>
      <c r="T532" s="28"/>
      <c r="V532" s="29"/>
      <c r="W532" s="29"/>
      <c r="AB532" s="28"/>
      <c r="CQ532" s="28"/>
      <c r="CR532" s="28"/>
      <c r="CS532" s="28"/>
    </row>
    <row r="533" spans="5:97" ht="12.75">
      <c r="E533" s="26"/>
      <c r="F533" s="26"/>
      <c r="H533" s="27"/>
      <c r="I533" s="27"/>
      <c r="S533" s="28"/>
      <c r="T533" s="28"/>
      <c r="V533" s="29"/>
      <c r="W533" s="29"/>
      <c r="AB533" s="28"/>
      <c r="CQ533" s="28"/>
      <c r="CR533" s="28"/>
      <c r="CS533" s="28"/>
    </row>
    <row r="534" spans="5:97" ht="12.75">
      <c r="E534" s="26"/>
      <c r="F534" s="26"/>
      <c r="H534" s="27"/>
      <c r="I534" s="27"/>
      <c r="S534" s="28"/>
      <c r="T534" s="28"/>
      <c r="V534" s="29"/>
      <c r="W534" s="29"/>
      <c r="AB534" s="28"/>
      <c r="CQ534" s="28"/>
      <c r="CR534" s="28"/>
      <c r="CS534" s="28"/>
    </row>
    <row r="535" spans="5:97" ht="12.75">
      <c r="E535" s="26"/>
      <c r="F535" s="26"/>
      <c r="H535" s="27"/>
      <c r="I535" s="27"/>
      <c r="S535" s="28"/>
      <c r="T535" s="28"/>
      <c r="V535" s="29"/>
      <c r="W535" s="29"/>
      <c r="AB535" s="28"/>
      <c r="CQ535" s="28"/>
      <c r="CR535" s="28"/>
      <c r="CS535" s="28"/>
    </row>
    <row r="536" spans="5:97" ht="12.75">
      <c r="E536" s="26"/>
      <c r="F536" s="26"/>
      <c r="H536" s="27"/>
      <c r="I536" s="27"/>
      <c r="S536" s="28"/>
      <c r="T536" s="28"/>
      <c r="V536" s="29"/>
      <c r="W536" s="29"/>
      <c r="AB536" s="28"/>
      <c r="CQ536" s="28"/>
      <c r="CR536" s="28"/>
      <c r="CS536" s="28"/>
    </row>
    <row r="537" spans="5:97" ht="12.75">
      <c r="E537" s="26"/>
      <c r="F537" s="26"/>
      <c r="H537" s="27"/>
      <c r="I537" s="27"/>
      <c r="S537" s="28"/>
      <c r="T537" s="28"/>
      <c r="V537" s="29"/>
      <c r="W537" s="29"/>
      <c r="AB537" s="28"/>
      <c r="CQ537" s="28"/>
      <c r="CR537" s="28"/>
      <c r="CS537" s="28"/>
    </row>
    <row r="538" spans="5:97" ht="12.75">
      <c r="E538" s="26"/>
      <c r="F538" s="26"/>
      <c r="H538" s="27"/>
      <c r="I538" s="27"/>
      <c r="S538" s="28"/>
      <c r="T538" s="28"/>
      <c r="V538" s="29"/>
      <c r="W538" s="29"/>
      <c r="AB538" s="28"/>
      <c r="CQ538" s="28"/>
      <c r="CR538" s="28"/>
      <c r="CS538" s="28"/>
    </row>
    <row r="539" spans="5:97" ht="12.75">
      <c r="E539" s="26"/>
      <c r="F539" s="26"/>
      <c r="H539" s="27"/>
      <c r="I539" s="27"/>
      <c r="S539" s="28"/>
      <c r="T539" s="28"/>
      <c r="V539" s="29"/>
      <c r="W539" s="29"/>
      <c r="AB539" s="28"/>
      <c r="CQ539" s="28"/>
      <c r="CR539" s="28"/>
      <c r="CS539" s="28"/>
    </row>
    <row r="540" spans="5:97" ht="12.75">
      <c r="E540" s="26"/>
      <c r="F540" s="26"/>
      <c r="H540" s="27"/>
      <c r="I540" s="27"/>
      <c r="S540" s="28"/>
      <c r="T540" s="28"/>
      <c r="V540" s="29"/>
      <c r="W540" s="29"/>
      <c r="AB540" s="28"/>
      <c r="CQ540" s="28"/>
      <c r="CR540" s="28"/>
      <c r="CS540" s="28"/>
    </row>
    <row r="541" spans="5:97" ht="12.75">
      <c r="E541" s="26"/>
      <c r="F541" s="26"/>
      <c r="H541" s="27"/>
      <c r="I541" s="27"/>
      <c r="S541" s="28"/>
      <c r="T541" s="28"/>
      <c r="V541" s="29"/>
      <c r="W541" s="29"/>
      <c r="AB541" s="28"/>
      <c r="CQ541" s="28"/>
      <c r="CR541" s="28"/>
      <c r="CS541" s="28"/>
    </row>
    <row r="542" spans="5:97" ht="12.75">
      <c r="E542" s="26"/>
      <c r="F542" s="26"/>
      <c r="H542" s="27"/>
      <c r="I542" s="27"/>
      <c r="S542" s="28"/>
      <c r="T542" s="28"/>
      <c r="V542" s="29"/>
      <c r="W542" s="29"/>
      <c r="AB542" s="28"/>
      <c r="CQ542" s="28"/>
      <c r="CR542" s="28"/>
      <c r="CS542" s="28"/>
    </row>
    <row r="543" spans="5:97" ht="12.75">
      <c r="E543" s="26"/>
      <c r="F543" s="26"/>
      <c r="H543" s="27"/>
      <c r="I543" s="27"/>
      <c r="S543" s="28"/>
      <c r="T543" s="28"/>
      <c r="V543" s="29"/>
      <c r="W543" s="29"/>
      <c r="AB543" s="28"/>
      <c r="CQ543" s="28"/>
      <c r="CR543" s="28"/>
      <c r="CS543" s="28"/>
    </row>
    <row r="544" spans="5:97" ht="12.75">
      <c r="E544" s="26"/>
      <c r="F544" s="26"/>
      <c r="H544" s="27"/>
      <c r="I544" s="27"/>
      <c r="S544" s="28"/>
      <c r="T544" s="28"/>
      <c r="V544" s="29"/>
      <c r="W544" s="29"/>
      <c r="AB544" s="28"/>
      <c r="CQ544" s="28"/>
      <c r="CR544" s="28"/>
      <c r="CS544" s="28"/>
    </row>
    <row r="545" spans="5:97" ht="12.75">
      <c r="E545" s="26"/>
      <c r="F545" s="26"/>
      <c r="H545" s="27"/>
      <c r="I545" s="27"/>
      <c r="S545" s="28"/>
      <c r="T545" s="28"/>
      <c r="V545" s="29"/>
      <c r="W545" s="29"/>
      <c r="AB545" s="28"/>
      <c r="CQ545" s="28"/>
      <c r="CR545" s="28"/>
      <c r="CS545" s="28"/>
    </row>
    <row r="546" spans="5:97" ht="12.75">
      <c r="E546" s="26"/>
      <c r="F546" s="26"/>
      <c r="H546" s="27"/>
      <c r="I546" s="27"/>
      <c r="S546" s="28"/>
      <c r="T546" s="28"/>
      <c r="V546" s="29"/>
      <c r="W546" s="29"/>
      <c r="AB546" s="28"/>
      <c r="CQ546" s="28"/>
      <c r="CR546" s="28"/>
      <c r="CS546" s="28"/>
    </row>
    <row r="547" spans="5:97" ht="12.75">
      <c r="E547" s="26"/>
      <c r="F547" s="26"/>
      <c r="H547" s="27"/>
      <c r="I547" s="27"/>
      <c r="S547" s="28"/>
      <c r="T547" s="28"/>
      <c r="V547" s="29"/>
      <c r="W547" s="29"/>
      <c r="AB547" s="28"/>
      <c r="CQ547" s="28"/>
      <c r="CR547" s="28"/>
      <c r="CS547" s="28"/>
    </row>
    <row r="548" spans="5:97" ht="12.75">
      <c r="E548" s="26"/>
      <c r="F548" s="26"/>
      <c r="H548" s="27"/>
      <c r="I548" s="27"/>
      <c r="S548" s="28"/>
      <c r="T548" s="28"/>
      <c r="V548" s="29"/>
      <c r="W548" s="29"/>
      <c r="AB548" s="28"/>
      <c r="CQ548" s="28"/>
      <c r="CR548" s="28"/>
      <c r="CS548" s="28"/>
    </row>
    <row r="549" spans="5:97" ht="12.75">
      <c r="E549" s="26"/>
      <c r="F549" s="26"/>
      <c r="H549" s="27"/>
      <c r="I549" s="27"/>
      <c r="S549" s="28"/>
      <c r="T549" s="28"/>
      <c r="V549" s="29"/>
      <c r="W549" s="29"/>
      <c r="AB549" s="28"/>
      <c r="CQ549" s="28"/>
      <c r="CR549" s="28"/>
      <c r="CS549" s="28"/>
    </row>
    <row r="550" spans="5:97" ht="12.75">
      <c r="E550" s="26"/>
      <c r="F550" s="26"/>
      <c r="H550" s="27"/>
      <c r="I550" s="27"/>
      <c r="S550" s="28"/>
      <c r="T550" s="28"/>
      <c r="V550" s="29"/>
      <c r="W550" s="29"/>
      <c r="AB550" s="28"/>
      <c r="CQ550" s="28"/>
      <c r="CR550" s="28"/>
      <c r="CS550" s="28"/>
    </row>
    <row r="551" spans="5:97" ht="12.75">
      <c r="E551" s="26"/>
      <c r="F551" s="26"/>
      <c r="H551" s="27"/>
      <c r="I551" s="27"/>
      <c r="S551" s="28"/>
      <c r="T551" s="28"/>
      <c r="V551" s="29"/>
      <c r="W551" s="29"/>
      <c r="AB551" s="28"/>
      <c r="CQ551" s="28"/>
      <c r="CR551" s="28"/>
      <c r="CS551" s="28"/>
    </row>
    <row r="552" spans="5:97" ht="12.75">
      <c r="E552" s="26"/>
      <c r="F552" s="26"/>
      <c r="H552" s="27"/>
      <c r="I552" s="27"/>
      <c r="S552" s="28"/>
      <c r="T552" s="28"/>
      <c r="V552" s="29"/>
      <c r="W552" s="29"/>
      <c r="AB552" s="28"/>
      <c r="CQ552" s="28"/>
      <c r="CR552" s="28"/>
      <c r="CS552" s="28"/>
    </row>
    <row r="553" spans="5:97" ht="12.75">
      <c r="E553" s="26"/>
      <c r="F553" s="26"/>
      <c r="H553" s="27"/>
      <c r="I553" s="27"/>
      <c r="S553" s="28"/>
      <c r="T553" s="28"/>
      <c r="V553" s="29"/>
      <c r="W553" s="29"/>
      <c r="AB553" s="28"/>
      <c r="CQ553" s="28"/>
      <c r="CR553" s="28"/>
      <c r="CS553" s="28"/>
    </row>
    <row r="554" spans="5:97" ht="12.75">
      <c r="E554" s="26"/>
      <c r="F554" s="26"/>
      <c r="H554" s="27"/>
      <c r="I554" s="27"/>
      <c r="S554" s="28"/>
      <c r="T554" s="28"/>
      <c r="V554" s="29"/>
      <c r="W554" s="29"/>
      <c r="AB554" s="28"/>
      <c r="CQ554" s="28"/>
      <c r="CR554" s="28"/>
      <c r="CS554" s="28"/>
    </row>
    <row r="555" spans="5:97" ht="12.75">
      <c r="E555" s="26"/>
      <c r="F555" s="26"/>
      <c r="H555" s="27"/>
      <c r="I555" s="27"/>
      <c r="S555" s="28"/>
      <c r="T555" s="28"/>
      <c r="V555" s="29"/>
      <c r="W555" s="29"/>
      <c r="AB555" s="28"/>
      <c r="CQ555" s="28"/>
      <c r="CR555" s="28"/>
      <c r="CS555" s="28"/>
    </row>
    <row r="556" spans="5:97" ht="12.75">
      <c r="E556" s="26"/>
      <c r="F556" s="26"/>
      <c r="H556" s="27"/>
      <c r="I556" s="27"/>
      <c r="S556" s="28"/>
      <c r="T556" s="28"/>
      <c r="V556" s="29"/>
      <c r="W556" s="29"/>
      <c r="AB556" s="28"/>
      <c r="CQ556" s="28"/>
      <c r="CR556" s="28"/>
      <c r="CS556" s="28"/>
    </row>
    <row r="557" spans="5:97" ht="12.75">
      <c r="E557" s="26"/>
      <c r="F557" s="26"/>
      <c r="H557" s="27"/>
      <c r="I557" s="27"/>
      <c r="S557" s="28"/>
      <c r="T557" s="28"/>
      <c r="V557" s="29"/>
      <c r="W557" s="29"/>
      <c r="AB557" s="28"/>
      <c r="CQ557" s="28"/>
      <c r="CR557" s="28"/>
      <c r="CS557" s="28"/>
    </row>
    <row r="558" spans="5:97" ht="12.75">
      <c r="E558" s="26"/>
      <c r="F558" s="26"/>
      <c r="H558" s="27"/>
      <c r="I558" s="27"/>
      <c r="S558" s="28"/>
      <c r="T558" s="28"/>
      <c r="V558" s="29"/>
      <c r="W558" s="29"/>
      <c r="AB558" s="28"/>
      <c r="CQ558" s="28"/>
      <c r="CR558" s="28"/>
      <c r="CS558" s="28"/>
    </row>
    <row r="559" spans="5:97" ht="12.75">
      <c r="E559" s="26"/>
      <c r="F559" s="26"/>
      <c r="H559" s="27"/>
      <c r="I559" s="27"/>
      <c r="S559" s="28"/>
      <c r="T559" s="28"/>
      <c r="V559" s="29"/>
      <c r="W559" s="29"/>
      <c r="AB559" s="28"/>
      <c r="CQ559" s="28"/>
      <c r="CR559" s="28"/>
      <c r="CS559" s="28"/>
    </row>
    <row r="560" spans="5:97" ht="12.75">
      <c r="E560" s="26"/>
      <c r="F560" s="26"/>
      <c r="H560" s="27"/>
      <c r="I560" s="27"/>
      <c r="S560" s="28"/>
      <c r="T560" s="28"/>
      <c r="V560" s="29"/>
      <c r="W560" s="29"/>
      <c r="AB560" s="28"/>
      <c r="CQ560" s="28"/>
      <c r="CR560" s="28"/>
      <c r="CS560" s="28"/>
    </row>
    <row r="561" spans="5:97" ht="12.75">
      <c r="E561" s="26"/>
      <c r="F561" s="26"/>
      <c r="H561" s="27"/>
      <c r="I561" s="27"/>
      <c r="S561" s="28"/>
      <c r="T561" s="28"/>
      <c r="V561" s="29"/>
      <c r="W561" s="29"/>
      <c r="AB561" s="28"/>
      <c r="CQ561" s="28"/>
      <c r="CR561" s="28"/>
      <c r="CS561" s="28"/>
    </row>
    <row r="562" spans="5:97" ht="12.75">
      <c r="E562" s="26"/>
      <c r="F562" s="26"/>
      <c r="H562" s="27"/>
      <c r="I562" s="27"/>
      <c r="S562" s="28"/>
      <c r="T562" s="28"/>
      <c r="V562" s="29"/>
      <c r="W562" s="29"/>
      <c r="AB562" s="28"/>
      <c r="CQ562" s="28"/>
      <c r="CR562" s="28"/>
      <c r="CS562" s="28"/>
    </row>
    <row r="563" spans="5:97" ht="12.75">
      <c r="E563" s="26"/>
      <c r="F563" s="26"/>
      <c r="H563" s="27"/>
      <c r="I563" s="27"/>
      <c r="S563" s="28"/>
      <c r="T563" s="28"/>
      <c r="V563" s="29"/>
      <c r="W563" s="29"/>
      <c r="AB563" s="28"/>
      <c r="CQ563" s="28"/>
      <c r="CR563" s="28"/>
      <c r="CS563" s="28"/>
    </row>
    <row r="564" spans="5:97" ht="12.75">
      <c r="E564" s="26"/>
      <c r="F564" s="26"/>
      <c r="I564" s="27"/>
      <c r="S564" s="28"/>
      <c r="T564" s="28"/>
      <c r="V564" s="29"/>
      <c r="W564" s="29"/>
      <c r="AB564" s="28"/>
      <c r="CQ564" s="28"/>
      <c r="CR564" s="28"/>
      <c r="CS564" s="28"/>
    </row>
    <row r="565" spans="5:97" ht="12.75">
      <c r="E565" s="26"/>
      <c r="F565" s="26"/>
      <c r="I565" s="27"/>
      <c r="S565" s="28"/>
      <c r="T565" s="28"/>
      <c r="V565" s="29"/>
      <c r="W565" s="29"/>
      <c r="AB565" s="28"/>
      <c r="CQ565" s="28"/>
      <c r="CR565" s="28"/>
      <c r="CS565" s="28"/>
    </row>
    <row r="566" spans="5:98" ht="12.75">
      <c r="E566" s="26"/>
      <c r="F566" s="26"/>
      <c r="H566" s="27"/>
      <c r="I566" s="27"/>
      <c r="S566" s="28"/>
      <c r="T566" s="28"/>
      <c r="V566" s="29"/>
      <c r="W566" s="29"/>
      <c r="AB566" s="28"/>
      <c r="CQ566" s="28"/>
      <c r="CR566" s="28"/>
      <c r="CS566" s="28"/>
      <c r="CT566" s="28"/>
    </row>
    <row r="567" spans="5:98" ht="12.75">
      <c r="E567" s="26"/>
      <c r="F567" s="26"/>
      <c r="I567" s="27"/>
      <c r="S567" s="28"/>
      <c r="T567" s="28"/>
      <c r="V567" s="29"/>
      <c r="W567" s="29"/>
      <c r="AB567" s="28"/>
      <c r="CQ567" s="28"/>
      <c r="CR567" s="28"/>
      <c r="CS567" s="28"/>
      <c r="CT567" s="28"/>
    </row>
    <row r="568" spans="5:98" ht="12.75">
      <c r="E568" s="26"/>
      <c r="F568" s="26"/>
      <c r="H568" s="27"/>
      <c r="I568" s="27"/>
      <c r="S568" s="28"/>
      <c r="T568" s="28"/>
      <c r="V568" s="29"/>
      <c r="W568" s="29"/>
      <c r="AB568" s="28"/>
      <c r="CQ568" s="28"/>
      <c r="CR568" s="28"/>
      <c r="CS568" s="28"/>
      <c r="CT568" s="28"/>
    </row>
    <row r="569" spans="5:98" ht="12.75">
      <c r="E569" s="26"/>
      <c r="F569" s="26"/>
      <c r="I569" s="27"/>
      <c r="S569" s="28"/>
      <c r="T569" s="28"/>
      <c r="V569" s="29"/>
      <c r="W569" s="29"/>
      <c r="AB569" s="28"/>
      <c r="CQ569" s="28"/>
      <c r="CR569" s="28"/>
      <c r="CS569" s="28"/>
      <c r="CT569" s="28"/>
    </row>
    <row r="570" spans="5:98" ht="12.75">
      <c r="E570" s="26"/>
      <c r="F570" s="26"/>
      <c r="I570" s="27"/>
      <c r="S570" s="28"/>
      <c r="T570" s="28"/>
      <c r="V570" s="29"/>
      <c r="W570" s="29"/>
      <c r="AB570" s="28"/>
      <c r="CQ570" s="28"/>
      <c r="CR570" s="28"/>
      <c r="CS570" s="28"/>
      <c r="CT570" s="28"/>
    </row>
    <row r="571" spans="5:98" ht="12.75">
      <c r="E571" s="26"/>
      <c r="F571" s="26"/>
      <c r="I571" s="27"/>
      <c r="S571" s="28"/>
      <c r="T571" s="28"/>
      <c r="V571" s="29"/>
      <c r="W571" s="29"/>
      <c r="AB571" s="28"/>
      <c r="CQ571" s="28"/>
      <c r="CR571" s="28"/>
      <c r="CS571" s="28"/>
      <c r="CT571" s="28"/>
    </row>
    <row r="572" spans="5:98" ht="12.75">
      <c r="E572" s="26"/>
      <c r="F572" s="26"/>
      <c r="I572" s="27"/>
      <c r="S572" s="28"/>
      <c r="T572" s="28"/>
      <c r="V572" s="29"/>
      <c r="W572" s="29"/>
      <c r="AB572" s="28"/>
      <c r="CQ572" s="28"/>
      <c r="CR572" s="28"/>
      <c r="CS572" s="28"/>
      <c r="CT572" s="28"/>
    </row>
    <row r="573" spans="5:98" ht="12.75">
      <c r="E573" s="26"/>
      <c r="F573" s="26"/>
      <c r="I573" s="27"/>
      <c r="S573" s="28"/>
      <c r="T573" s="28"/>
      <c r="V573" s="29"/>
      <c r="W573" s="29"/>
      <c r="AB573" s="28"/>
      <c r="CQ573" s="28"/>
      <c r="CR573" s="28"/>
      <c r="CS573" s="28"/>
      <c r="CT573" s="28"/>
    </row>
    <row r="574" spans="5:97" ht="12.75">
      <c r="E574" s="26"/>
      <c r="F574" s="26"/>
      <c r="I574" s="27"/>
      <c r="S574" s="28"/>
      <c r="T574" s="28"/>
      <c r="V574" s="29"/>
      <c r="W574" s="29"/>
      <c r="AB574" s="28"/>
      <c r="CQ574" s="28"/>
      <c r="CR574" s="28"/>
      <c r="CS574" s="28"/>
    </row>
    <row r="575" spans="5:97" ht="12.75">
      <c r="E575" s="26"/>
      <c r="F575" s="26"/>
      <c r="I575" s="27"/>
      <c r="S575" s="28"/>
      <c r="T575" s="28"/>
      <c r="V575" s="29"/>
      <c r="W575" s="29"/>
      <c r="AB575" s="28"/>
      <c r="CQ575" s="28"/>
      <c r="CR575" s="28"/>
      <c r="CS575" s="28"/>
    </row>
    <row r="576" spans="5:97" ht="12.75">
      <c r="E576" s="26"/>
      <c r="F576" s="26"/>
      <c r="G576" s="28"/>
      <c r="I576" s="27"/>
      <c r="J576" s="28"/>
      <c r="K576" s="28"/>
      <c r="L576" s="28"/>
      <c r="O576" s="28"/>
      <c r="P576" s="28"/>
      <c r="Q576" s="28"/>
      <c r="R576" s="28"/>
      <c r="S576" s="28"/>
      <c r="T576" s="28"/>
      <c r="U576" s="28"/>
      <c r="V576" s="28"/>
      <c r="W576" s="28"/>
      <c r="AB576" s="28"/>
      <c r="AC576" s="28"/>
      <c r="AD576" s="28"/>
      <c r="AE576" s="28"/>
      <c r="AG576" s="28"/>
      <c r="AH576" s="28"/>
      <c r="AI576" s="28"/>
      <c r="AJ576" s="28"/>
      <c r="AK576" s="28"/>
      <c r="CP576" s="28"/>
      <c r="CQ576" s="28"/>
      <c r="CR576" s="28"/>
      <c r="CS576" s="28"/>
    </row>
    <row r="577" spans="5:97" ht="12.75">
      <c r="E577" s="26"/>
      <c r="F577" s="26"/>
      <c r="H577" s="27"/>
      <c r="I577" s="27"/>
      <c r="S577" s="28"/>
      <c r="T577" s="28"/>
      <c r="V577" s="29"/>
      <c r="W577" s="29"/>
      <c r="AB577" s="28"/>
      <c r="CQ577" s="28"/>
      <c r="CR577" s="28"/>
      <c r="CS577" s="28"/>
    </row>
    <row r="578" spans="5:97" ht="12.75">
      <c r="E578" s="26"/>
      <c r="F578" s="26"/>
      <c r="H578" s="27"/>
      <c r="I578" s="27"/>
      <c r="S578" s="28"/>
      <c r="T578" s="28"/>
      <c r="V578" s="29"/>
      <c r="W578" s="29"/>
      <c r="AB578" s="28"/>
      <c r="CQ578" s="28"/>
      <c r="CR578" s="28"/>
      <c r="CS578" s="28"/>
    </row>
    <row r="579" spans="5:97" ht="12.75">
      <c r="E579" s="26"/>
      <c r="F579" s="26"/>
      <c r="H579" s="27"/>
      <c r="I579" s="27"/>
      <c r="S579" s="28"/>
      <c r="T579" s="28"/>
      <c r="V579" s="29"/>
      <c r="W579" s="29"/>
      <c r="AB579" s="28"/>
      <c r="CQ579" s="28"/>
      <c r="CR579" s="28"/>
      <c r="CS579" s="28"/>
    </row>
    <row r="580" spans="5:97" ht="12.75">
      <c r="E580" s="26"/>
      <c r="F580" s="26"/>
      <c r="H580" s="27"/>
      <c r="I580" s="27"/>
      <c r="S580" s="28"/>
      <c r="T580" s="28"/>
      <c r="V580" s="29"/>
      <c r="W580" s="29"/>
      <c r="AB580" s="28"/>
      <c r="CQ580" s="28"/>
      <c r="CR580" s="28"/>
      <c r="CS580" s="28"/>
    </row>
    <row r="581" spans="5:97" ht="12.75">
      <c r="E581" s="26"/>
      <c r="F581" s="26"/>
      <c r="H581" s="27"/>
      <c r="I581" s="27"/>
      <c r="S581" s="28"/>
      <c r="T581" s="28"/>
      <c r="V581" s="29"/>
      <c r="W581" s="29"/>
      <c r="AB581" s="28"/>
      <c r="CQ581" s="28"/>
      <c r="CR581" s="28"/>
      <c r="CS581" s="28"/>
    </row>
    <row r="582" spans="5:97" ht="12.75">
      <c r="E582" s="26"/>
      <c r="F582" s="26"/>
      <c r="H582" s="27"/>
      <c r="I582" s="27"/>
      <c r="S582" s="28"/>
      <c r="T582" s="28"/>
      <c r="V582" s="29"/>
      <c r="W582" s="29"/>
      <c r="AB582" s="28"/>
      <c r="CQ582" s="28"/>
      <c r="CR582" s="28"/>
      <c r="CS582" s="28"/>
    </row>
    <row r="583" spans="5:97" ht="12.75">
      <c r="E583" s="26"/>
      <c r="F583" s="26"/>
      <c r="H583" s="27"/>
      <c r="I583" s="27"/>
      <c r="S583" s="28"/>
      <c r="T583" s="28"/>
      <c r="V583" s="29"/>
      <c r="W583" s="29"/>
      <c r="AB583" s="28"/>
      <c r="CQ583" s="28"/>
      <c r="CR583" s="28"/>
      <c r="CS583" s="28"/>
    </row>
    <row r="584" spans="5:97" ht="12.75">
      <c r="E584" s="26"/>
      <c r="F584" s="26"/>
      <c r="H584" s="27"/>
      <c r="I584" s="27"/>
      <c r="S584" s="28"/>
      <c r="T584" s="28"/>
      <c r="V584" s="29"/>
      <c r="W584" s="29"/>
      <c r="AB584" s="28"/>
      <c r="CQ584" s="28"/>
      <c r="CR584" s="28"/>
      <c r="CS584" s="28"/>
    </row>
    <row r="585" spans="5:97" ht="12.75">
      <c r="E585" s="26"/>
      <c r="F585" s="26"/>
      <c r="H585" s="27"/>
      <c r="I585" s="27"/>
      <c r="S585" s="28"/>
      <c r="T585" s="28"/>
      <c r="V585" s="29"/>
      <c r="W585" s="29"/>
      <c r="AB585" s="28"/>
      <c r="CQ585" s="28"/>
      <c r="CR585" s="28"/>
      <c r="CS585" s="28"/>
    </row>
    <row r="586" spans="5:97" ht="12.75">
      <c r="E586" s="26"/>
      <c r="F586" s="26"/>
      <c r="H586" s="27"/>
      <c r="I586" s="27"/>
      <c r="S586" s="28"/>
      <c r="T586" s="28"/>
      <c r="V586" s="29"/>
      <c r="W586" s="29"/>
      <c r="AB586" s="28"/>
      <c r="CQ586" s="28"/>
      <c r="CR586" s="28"/>
      <c r="CS586" s="28"/>
    </row>
    <row r="587" spans="5:97" ht="12.75">
      <c r="E587" s="26"/>
      <c r="F587" s="26"/>
      <c r="H587" s="27"/>
      <c r="I587" s="27"/>
      <c r="S587" s="28"/>
      <c r="T587" s="28"/>
      <c r="V587" s="29"/>
      <c r="W587" s="29"/>
      <c r="AB587" s="28"/>
      <c r="CQ587" s="28"/>
      <c r="CR587" s="28"/>
      <c r="CS587" s="28"/>
    </row>
    <row r="588" spans="5:97" ht="12.75">
      <c r="E588" s="26"/>
      <c r="F588" s="26"/>
      <c r="H588" s="27"/>
      <c r="I588" s="27"/>
      <c r="S588" s="28"/>
      <c r="T588" s="28"/>
      <c r="V588" s="29"/>
      <c r="W588" s="29"/>
      <c r="AB588" s="28"/>
      <c r="CQ588" s="28"/>
      <c r="CR588" s="28"/>
      <c r="CS588" s="28"/>
    </row>
    <row r="589" spans="5:97" ht="12.75">
      <c r="E589" s="26"/>
      <c r="F589" s="26"/>
      <c r="H589" s="27"/>
      <c r="I589" s="27"/>
      <c r="S589" s="28"/>
      <c r="T589" s="28"/>
      <c r="V589" s="29"/>
      <c r="W589" s="29"/>
      <c r="AB589" s="28"/>
      <c r="CQ589" s="28"/>
      <c r="CR589" s="28"/>
      <c r="CS589" s="28"/>
    </row>
    <row r="590" spans="5:97" ht="12.75">
      <c r="E590" s="26"/>
      <c r="F590" s="26"/>
      <c r="H590" s="27"/>
      <c r="I590" s="27"/>
      <c r="S590" s="28"/>
      <c r="T590" s="28"/>
      <c r="V590" s="29"/>
      <c r="W590" s="29"/>
      <c r="AB590" s="28"/>
      <c r="CQ590" s="28"/>
      <c r="CR590" s="28"/>
      <c r="CS590" s="28"/>
    </row>
    <row r="591" spans="5:97" ht="12.75">
      <c r="E591" s="26"/>
      <c r="F591" s="26"/>
      <c r="H591" s="27"/>
      <c r="I591" s="27"/>
      <c r="S591" s="28"/>
      <c r="T591" s="28"/>
      <c r="V591" s="29"/>
      <c r="W591" s="29"/>
      <c r="AB591" s="28"/>
      <c r="CQ591" s="28"/>
      <c r="CR591" s="28"/>
      <c r="CS591" s="28"/>
    </row>
    <row r="592" spans="5:97" ht="12.75">
      <c r="E592" s="26"/>
      <c r="F592" s="26"/>
      <c r="H592" s="27"/>
      <c r="I592" s="27"/>
      <c r="S592" s="28"/>
      <c r="T592" s="28"/>
      <c r="V592" s="29"/>
      <c r="W592" s="29"/>
      <c r="AB592" s="28"/>
      <c r="CQ592" s="28"/>
      <c r="CR592" s="28"/>
      <c r="CS592" s="28"/>
    </row>
    <row r="593" spans="5:97" ht="12.75">
      <c r="E593" s="26"/>
      <c r="F593" s="26"/>
      <c r="H593" s="27"/>
      <c r="I593" s="27"/>
      <c r="S593" s="28"/>
      <c r="T593" s="28"/>
      <c r="V593" s="29"/>
      <c r="W593" s="29"/>
      <c r="AB593" s="28"/>
      <c r="CQ593" s="28"/>
      <c r="CR593" s="28"/>
      <c r="CS593" s="28"/>
    </row>
    <row r="594" spans="5:97" ht="12.75">
      <c r="E594" s="26"/>
      <c r="F594" s="26"/>
      <c r="H594" s="27"/>
      <c r="I594" s="27"/>
      <c r="S594" s="28"/>
      <c r="T594" s="28"/>
      <c r="V594" s="29"/>
      <c r="W594" s="29"/>
      <c r="AB594" s="28"/>
      <c r="CQ594" s="28"/>
      <c r="CR594" s="28"/>
      <c r="CS594" s="28"/>
    </row>
    <row r="595" spans="5:97" ht="12.75">
      <c r="E595" s="26"/>
      <c r="F595" s="26"/>
      <c r="H595" s="27"/>
      <c r="I595" s="27"/>
      <c r="S595" s="28"/>
      <c r="T595" s="28"/>
      <c r="V595" s="29"/>
      <c r="W595" s="29"/>
      <c r="AB595" s="28"/>
      <c r="CQ595" s="28"/>
      <c r="CR595" s="28"/>
      <c r="CS595" s="28"/>
    </row>
    <row r="596" spans="5:97" ht="12.75">
      <c r="E596" s="26"/>
      <c r="F596" s="26"/>
      <c r="H596" s="27"/>
      <c r="I596" s="27"/>
      <c r="S596" s="28"/>
      <c r="T596" s="28"/>
      <c r="V596" s="29"/>
      <c r="W596" s="29"/>
      <c r="AB596" s="28"/>
      <c r="CQ596" s="28"/>
      <c r="CR596" s="28"/>
      <c r="CS596" s="28"/>
    </row>
    <row r="597" spans="5:97" ht="12.75">
      <c r="E597" s="26"/>
      <c r="F597" s="26"/>
      <c r="H597" s="27"/>
      <c r="I597" s="27"/>
      <c r="S597" s="28"/>
      <c r="T597" s="28"/>
      <c r="V597" s="29"/>
      <c r="W597" s="29"/>
      <c r="AB597" s="28"/>
      <c r="CQ597" s="28"/>
      <c r="CR597" s="28"/>
      <c r="CS597" s="28"/>
    </row>
    <row r="598" spans="5:97" ht="12.75">
      <c r="E598" s="26"/>
      <c r="F598" s="26"/>
      <c r="H598" s="27"/>
      <c r="I598" s="27"/>
      <c r="S598" s="28"/>
      <c r="T598" s="28"/>
      <c r="V598" s="29"/>
      <c r="W598" s="29"/>
      <c r="AB598" s="28"/>
      <c r="CQ598" s="28"/>
      <c r="CR598" s="28"/>
      <c r="CS598" s="28"/>
    </row>
    <row r="599" spans="5:97" ht="12.75">
      <c r="E599" s="26"/>
      <c r="F599" s="26"/>
      <c r="H599" s="27"/>
      <c r="I599" s="27"/>
      <c r="S599" s="28"/>
      <c r="T599" s="28"/>
      <c r="V599" s="29"/>
      <c r="W599" s="29"/>
      <c r="AB599" s="28"/>
      <c r="CQ599" s="28"/>
      <c r="CR599" s="28"/>
      <c r="CS599" s="28"/>
    </row>
    <row r="600" spans="5:97" ht="12.75">
      <c r="E600" s="26"/>
      <c r="F600" s="26"/>
      <c r="H600" s="27"/>
      <c r="I600" s="27"/>
      <c r="S600" s="28"/>
      <c r="T600" s="28"/>
      <c r="V600" s="29"/>
      <c r="W600" s="29"/>
      <c r="AB600" s="28"/>
      <c r="CQ600" s="28"/>
      <c r="CR600" s="28"/>
      <c r="CS600" s="28"/>
    </row>
    <row r="601" spans="5:97" ht="12.75">
      <c r="E601" s="26"/>
      <c r="F601" s="26"/>
      <c r="H601" s="27"/>
      <c r="I601" s="27"/>
      <c r="S601" s="28"/>
      <c r="T601" s="28"/>
      <c r="V601" s="29"/>
      <c r="W601" s="29"/>
      <c r="AB601" s="28"/>
      <c r="CQ601" s="28"/>
      <c r="CR601" s="28"/>
      <c r="CS601" s="28"/>
    </row>
    <row r="602" spans="5:97" ht="12.75">
      <c r="E602" s="26"/>
      <c r="F602" s="26"/>
      <c r="H602" s="27"/>
      <c r="I602" s="27"/>
      <c r="S602" s="28"/>
      <c r="T602" s="28"/>
      <c r="V602" s="29"/>
      <c r="W602" s="29"/>
      <c r="AB602" s="28"/>
      <c r="CQ602" s="28"/>
      <c r="CR602" s="28"/>
      <c r="CS602" s="28"/>
    </row>
    <row r="603" spans="5:97" ht="12.75">
      <c r="E603" s="26"/>
      <c r="F603" s="26"/>
      <c r="H603" s="27"/>
      <c r="I603" s="27"/>
      <c r="S603" s="28"/>
      <c r="T603" s="28"/>
      <c r="V603" s="29"/>
      <c r="W603" s="29"/>
      <c r="AB603" s="28"/>
      <c r="CQ603" s="28"/>
      <c r="CR603" s="28"/>
      <c r="CS603" s="28"/>
    </row>
    <row r="604" spans="5:97" ht="12.75">
      <c r="E604" s="26"/>
      <c r="F604" s="26"/>
      <c r="H604" s="27"/>
      <c r="I604" s="27"/>
      <c r="S604" s="28"/>
      <c r="T604" s="28"/>
      <c r="V604" s="29"/>
      <c r="W604" s="29"/>
      <c r="AB604" s="28"/>
      <c r="CQ604" s="28"/>
      <c r="CR604" s="28"/>
      <c r="CS604" s="28"/>
    </row>
    <row r="605" spans="5:97" ht="12.75">
      <c r="E605" s="26"/>
      <c r="F605" s="26"/>
      <c r="H605" s="27"/>
      <c r="I605" s="27"/>
      <c r="S605" s="28"/>
      <c r="T605" s="28"/>
      <c r="V605" s="29"/>
      <c r="W605" s="29"/>
      <c r="AB605" s="28"/>
      <c r="CQ605" s="28"/>
      <c r="CR605" s="28"/>
      <c r="CS605" s="28"/>
    </row>
    <row r="606" spans="5:97" ht="12.75">
      <c r="E606" s="26"/>
      <c r="F606" s="26"/>
      <c r="H606" s="27"/>
      <c r="I606" s="27"/>
      <c r="S606" s="28"/>
      <c r="T606" s="28"/>
      <c r="V606" s="29"/>
      <c r="W606" s="29"/>
      <c r="AB606" s="28"/>
      <c r="CQ606" s="28"/>
      <c r="CR606" s="28"/>
      <c r="CS606" s="28"/>
    </row>
    <row r="607" spans="5:97" ht="12.75">
      <c r="E607" s="26"/>
      <c r="F607" s="26"/>
      <c r="H607" s="27"/>
      <c r="I607" s="27"/>
      <c r="S607" s="28"/>
      <c r="T607" s="28"/>
      <c r="V607" s="29"/>
      <c r="W607" s="29"/>
      <c r="AB607" s="28"/>
      <c r="CQ607" s="28"/>
      <c r="CR607" s="28"/>
      <c r="CS607" s="28"/>
    </row>
    <row r="608" spans="5:97" ht="12.75">
      <c r="E608" s="26"/>
      <c r="F608" s="26"/>
      <c r="H608" s="27"/>
      <c r="I608" s="27"/>
      <c r="S608" s="28"/>
      <c r="T608" s="28"/>
      <c r="V608" s="29"/>
      <c r="W608" s="29"/>
      <c r="AB608" s="28"/>
      <c r="CQ608" s="28"/>
      <c r="CR608" s="28"/>
      <c r="CS608" s="28"/>
    </row>
    <row r="609" spans="5:97" ht="12.75">
      <c r="E609" s="26"/>
      <c r="F609" s="26"/>
      <c r="H609" s="27"/>
      <c r="I609" s="27"/>
      <c r="S609" s="28"/>
      <c r="T609" s="28"/>
      <c r="V609" s="29"/>
      <c r="W609" s="29"/>
      <c r="AB609" s="28"/>
      <c r="CQ609" s="28"/>
      <c r="CR609" s="28"/>
      <c r="CS609" s="28"/>
    </row>
    <row r="610" spans="5:97" ht="12.75">
      <c r="E610" s="26"/>
      <c r="F610" s="26"/>
      <c r="H610" s="27"/>
      <c r="I610" s="27"/>
      <c r="S610" s="28"/>
      <c r="T610" s="28"/>
      <c r="V610" s="29"/>
      <c r="W610" s="29"/>
      <c r="AB610" s="28"/>
      <c r="CQ610" s="28"/>
      <c r="CR610" s="28"/>
      <c r="CS610" s="28"/>
    </row>
    <row r="611" spans="5:97" ht="12.75">
      <c r="E611" s="26"/>
      <c r="F611" s="26"/>
      <c r="H611" s="27"/>
      <c r="I611" s="27"/>
      <c r="S611" s="28"/>
      <c r="T611" s="28"/>
      <c r="V611" s="29"/>
      <c r="W611" s="29"/>
      <c r="AB611" s="28"/>
      <c r="CQ611" s="28"/>
      <c r="CR611" s="28"/>
      <c r="CS611" s="28"/>
    </row>
    <row r="612" spans="5:97" ht="12.75">
      <c r="E612" s="26"/>
      <c r="F612" s="26"/>
      <c r="H612" s="27"/>
      <c r="I612" s="27"/>
      <c r="S612" s="28"/>
      <c r="T612" s="28"/>
      <c r="V612" s="29"/>
      <c r="W612" s="29"/>
      <c r="AB612" s="28"/>
      <c r="CQ612" s="28"/>
      <c r="CR612" s="28"/>
      <c r="CS612" s="28"/>
    </row>
    <row r="613" spans="5:97" ht="12.75">
      <c r="E613" s="26"/>
      <c r="F613" s="26"/>
      <c r="H613" s="27"/>
      <c r="I613" s="27"/>
      <c r="S613" s="28"/>
      <c r="T613" s="28"/>
      <c r="V613" s="29"/>
      <c r="W613" s="29"/>
      <c r="AB613" s="28"/>
      <c r="CQ613" s="28"/>
      <c r="CR613" s="28"/>
      <c r="CS613" s="28"/>
    </row>
    <row r="614" spans="5:97" ht="12.75">
      <c r="E614" s="26"/>
      <c r="F614" s="26"/>
      <c r="H614" s="27"/>
      <c r="I614" s="27"/>
      <c r="S614" s="28"/>
      <c r="T614" s="28"/>
      <c r="V614" s="29"/>
      <c r="W614" s="29"/>
      <c r="AB614" s="28"/>
      <c r="CQ614" s="28"/>
      <c r="CR614" s="28"/>
      <c r="CS614" s="28"/>
    </row>
    <row r="615" spans="5:97" ht="12.75">
      <c r="E615" s="26"/>
      <c r="F615" s="26"/>
      <c r="H615" s="27"/>
      <c r="I615" s="27"/>
      <c r="S615" s="28"/>
      <c r="T615" s="28"/>
      <c r="V615" s="29"/>
      <c r="W615" s="29"/>
      <c r="AB615" s="28"/>
      <c r="CQ615" s="28"/>
      <c r="CR615" s="28"/>
      <c r="CS615" s="28"/>
    </row>
    <row r="616" spans="5:97" ht="12.75">
      <c r="E616" s="26"/>
      <c r="F616" s="26"/>
      <c r="H616" s="27"/>
      <c r="I616" s="27"/>
      <c r="S616" s="28"/>
      <c r="T616" s="28"/>
      <c r="V616" s="29"/>
      <c r="W616" s="29"/>
      <c r="AB616" s="28"/>
      <c r="CQ616" s="28"/>
      <c r="CR616" s="28"/>
      <c r="CS616" s="28"/>
    </row>
    <row r="617" spans="5:97" ht="12.75">
      <c r="E617" s="26"/>
      <c r="F617" s="26"/>
      <c r="H617" s="27"/>
      <c r="I617" s="27"/>
      <c r="S617" s="28"/>
      <c r="T617" s="28"/>
      <c r="V617" s="29"/>
      <c r="W617" s="29"/>
      <c r="AB617" s="28"/>
      <c r="CQ617" s="28"/>
      <c r="CR617" s="28"/>
      <c r="CS617" s="28"/>
    </row>
    <row r="618" spans="5:97" ht="12.75">
      <c r="E618" s="26"/>
      <c r="F618" s="26"/>
      <c r="H618" s="27"/>
      <c r="I618" s="27"/>
      <c r="S618" s="28"/>
      <c r="T618" s="28"/>
      <c r="V618" s="29"/>
      <c r="W618" s="29"/>
      <c r="AB618" s="28"/>
      <c r="CQ618" s="28"/>
      <c r="CR618" s="28"/>
      <c r="CS618" s="28"/>
    </row>
    <row r="619" spans="5:97" ht="12.75">
      <c r="E619" s="26"/>
      <c r="F619" s="26"/>
      <c r="H619" s="27"/>
      <c r="I619" s="27"/>
      <c r="S619" s="28"/>
      <c r="T619" s="28"/>
      <c r="V619" s="29"/>
      <c r="W619" s="29"/>
      <c r="AB619" s="28"/>
      <c r="CQ619" s="28"/>
      <c r="CR619" s="28"/>
      <c r="CS619" s="28"/>
    </row>
    <row r="620" spans="5:97" ht="12.75">
      <c r="E620" s="26"/>
      <c r="F620" s="26"/>
      <c r="H620" s="27"/>
      <c r="I620" s="27"/>
      <c r="S620" s="28"/>
      <c r="T620" s="28"/>
      <c r="V620" s="29"/>
      <c r="W620" s="29"/>
      <c r="AB620" s="28"/>
      <c r="CQ620" s="28"/>
      <c r="CR620" s="28"/>
      <c r="CS620" s="28"/>
    </row>
    <row r="621" spans="5:97" ht="12.75">
      <c r="E621" s="26"/>
      <c r="F621" s="26"/>
      <c r="H621" s="27"/>
      <c r="I621" s="27"/>
      <c r="S621" s="28"/>
      <c r="T621" s="28"/>
      <c r="V621" s="29"/>
      <c r="W621" s="29"/>
      <c r="AB621" s="28"/>
      <c r="CQ621" s="28"/>
      <c r="CR621" s="28"/>
      <c r="CS621" s="28"/>
    </row>
    <row r="622" spans="5:97" ht="12.75">
      <c r="E622" s="26"/>
      <c r="F622" s="26"/>
      <c r="H622" s="27"/>
      <c r="I622" s="27"/>
      <c r="S622" s="28"/>
      <c r="T622" s="28"/>
      <c r="V622" s="29"/>
      <c r="W622" s="29"/>
      <c r="AB622" s="28"/>
      <c r="CQ622" s="28"/>
      <c r="CR622" s="28"/>
      <c r="CS622" s="28"/>
    </row>
    <row r="623" spans="5:97" ht="12.75">
      <c r="E623" s="26"/>
      <c r="F623" s="26"/>
      <c r="H623" s="27"/>
      <c r="I623" s="27"/>
      <c r="S623" s="28"/>
      <c r="T623" s="28"/>
      <c r="V623" s="29"/>
      <c r="W623" s="29"/>
      <c r="AB623" s="28"/>
      <c r="CQ623" s="28"/>
      <c r="CR623" s="28"/>
      <c r="CS623" s="28"/>
    </row>
    <row r="624" spans="5:97" ht="12.75">
      <c r="E624" s="26"/>
      <c r="F624" s="26"/>
      <c r="H624" s="27"/>
      <c r="I624" s="27"/>
      <c r="S624" s="28"/>
      <c r="T624" s="28"/>
      <c r="V624" s="29"/>
      <c r="W624" s="29"/>
      <c r="AB624" s="28"/>
      <c r="CQ624" s="28"/>
      <c r="CR624" s="28"/>
      <c r="CS624" s="28"/>
    </row>
    <row r="625" spans="5:97" ht="12.75">
      <c r="E625" s="26"/>
      <c r="F625" s="26"/>
      <c r="H625" s="27"/>
      <c r="I625" s="27"/>
      <c r="S625" s="28"/>
      <c r="T625" s="28"/>
      <c r="V625" s="29"/>
      <c r="W625" s="29"/>
      <c r="AB625" s="28"/>
      <c r="CQ625" s="28"/>
      <c r="CR625" s="28"/>
      <c r="CS625" s="28"/>
    </row>
    <row r="626" spans="5:97" ht="12.75">
      <c r="E626" s="26"/>
      <c r="F626" s="26"/>
      <c r="H626" s="27"/>
      <c r="I626" s="27"/>
      <c r="S626" s="28"/>
      <c r="T626" s="28"/>
      <c r="V626" s="29"/>
      <c r="W626" s="29"/>
      <c r="AB626" s="28"/>
      <c r="CQ626" s="28"/>
      <c r="CR626" s="28"/>
      <c r="CS626" s="28"/>
    </row>
    <row r="627" spans="5:97" ht="12.75">
      <c r="E627" s="26"/>
      <c r="F627" s="26"/>
      <c r="I627" s="27"/>
      <c r="S627" s="28"/>
      <c r="T627" s="28"/>
      <c r="V627" s="29"/>
      <c r="W627" s="29"/>
      <c r="AB627" s="28"/>
      <c r="CQ627" s="28"/>
      <c r="CR627" s="28"/>
      <c r="CS627" s="28"/>
    </row>
    <row r="628" spans="5:97" ht="12.75">
      <c r="E628" s="26"/>
      <c r="F628" s="26"/>
      <c r="H628" s="27"/>
      <c r="S628" s="28"/>
      <c r="T628" s="28"/>
      <c r="V628" s="29"/>
      <c r="W628" s="29"/>
      <c r="AB628" s="28"/>
      <c r="CQ628" s="28"/>
      <c r="CR628" s="28"/>
      <c r="CS628" s="28"/>
    </row>
    <row r="629" spans="5:97" ht="12.75">
      <c r="E629" s="26"/>
      <c r="F629" s="26"/>
      <c r="H629" s="27"/>
      <c r="S629" s="28"/>
      <c r="T629" s="28"/>
      <c r="V629" s="29"/>
      <c r="W629" s="29"/>
      <c r="AB629" s="28"/>
      <c r="CQ629" s="28"/>
      <c r="CR629" s="28"/>
      <c r="CS629" s="28"/>
    </row>
    <row r="630" spans="5:98" ht="12.75">
      <c r="E630" s="26"/>
      <c r="F630" s="26"/>
      <c r="H630" s="27"/>
      <c r="S630" s="28"/>
      <c r="T630" s="28"/>
      <c r="V630" s="29"/>
      <c r="W630" s="29"/>
      <c r="AB630" s="28"/>
      <c r="CQ630" s="28"/>
      <c r="CR630" s="28"/>
      <c r="CS630" s="28"/>
      <c r="CT630" s="28"/>
    </row>
    <row r="631" spans="5:97" ht="12.75">
      <c r="E631" s="26"/>
      <c r="F631" s="26"/>
      <c r="H631" s="27"/>
      <c r="S631" s="28"/>
      <c r="T631" s="28"/>
      <c r="V631" s="29"/>
      <c r="W631" s="29"/>
      <c r="AB631" s="28"/>
      <c r="CQ631" s="28"/>
      <c r="CR631" s="28"/>
      <c r="CS631" s="28"/>
    </row>
    <row r="632" spans="5:97" ht="12.75">
      <c r="E632" s="26"/>
      <c r="F632" s="26"/>
      <c r="H632" s="27"/>
      <c r="S632" s="28"/>
      <c r="T632" s="28"/>
      <c r="V632" s="29"/>
      <c r="W632" s="29"/>
      <c r="AB632" s="28"/>
      <c r="CQ632" s="28"/>
      <c r="CR632" s="28"/>
      <c r="CS632" s="28"/>
    </row>
    <row r="633" spans="5:97" ht="12.75">
      <c r="E633" s="26"/>
      <c r="F633" s="26"/>
      <c r="G633" s="28"/>
      <c r="H633" s="27"/>
      <c r="J633" s="28"/>
      <c r="K633" s="28"/>
      <c r="L633" s="28"/>
      <c r="O633" s="28"/>
      <c r="P633" s="28"/>
      <c r="Q633" s="28"/>
      <c r="R633" s="28"/>
      <c r="S633" s="28"/>
      <c r="T633" s="28"/>
      <c r="U633" s="28"/>
      <c r="V633" s="28"/>
      <c r="W633" s="28"/>
      <c r="AB633" s="28"/>
      <c r="AC633" s="28"/>
      <c r="AD633" s="28"/>
      <c r="AE633" s="28"/>
      <c r="AG633" s="28"/>
      <c r="AH633" s="28"/>
      <c r="AI633" s="28"/>
      <c r="AJ633" s="28"/>
      <c r="AK633" s="28"/>
      <c r="CP633" s="28"/>
      <c r="CQ633" s="28"/>
      <c r="CR633" s="28"/>
      <c r="CS633" s="28"/>
    </row>
    <row r="634" spans="5:97" ht="12.75">
      <c r="E634" s="26"/>
      <c r="F634" s="26"/>
      <c r="H634" s="27"/>
      <c r="I634" s="27"/>
      <c r="S634" s="28"/>
      <c r="T634" s="28"/>
      <c r="V634" s="29"/>
      <c r="W634" s="29"/>
      <c r="AB634" s="28"/>
      <c r="CQ634" s="28"/>
      <c r="CR634" s="28"/>
      <c r="CS634" s="28"/>
    </row>
    <row r="635" spans="5:97" ht="12.75">
      <c r="E635" s="26"/>
      <c r="F635" s="26"/>
      <c r="H635" s="27"/>
      <c r="I635" s="27"/>
      <c r="S635" s="28"/>
      <c r="T635" s="28"/>
      <c r="V635" s="29"/>
      <c r="W635" s="29"/>
      <c r="AB635" s="28"/>
      <c r="CQ635" s="28"/>
      <c r="CR635" s="28"/>
      <c r="CS635" s="28"/>
    </row>
    <row r="636" spans="5:97" ht="12.75">
      <c r="E636" s="26"/>
      <c r="F636" s="26"/>
      <c r="H636" s="27"/>
      <c r="I636" s="27"/>
      <c r="S636" s="28"/>
      <c r="T636" s="28"/>
      <c r="V636" s="29"/>
      <c r="W636" s="29"/>
      <c r="AB636" s="28"/>
      <c r="CQ636" s="28"/>
      <c r="CR636" s="28"/>
      <c r="CS636" s="28"/>
    </row>
    <row r="637" spans="5:97" ht="12.75">
      <c r="E637" s="26"/>
      <c r="F637" s="26"/>
      <c r="H637" s="27"/>
      <c r="I637" s="27"/>
      <c r="S637" s="28"/>
      <c r="T637" s="28"/>
      <c r="V637" s="29"/>
      <c r="W637" s="29"/>
      <c r="AB637" s="28"/>
      <c r="CQ637" s="28"/>
      <c r="CR637" s="28"/>
      <c r="CS637" s="28"/>
    </row>
    <row r="638" spans="5:97" ht="12.75">
      <c r="E638" s="26"/>
      <c r="F638" s="26"/>
      <c r="H638" s="27"/>
      <c r="I638" s="27"/>
      <c r="S638" s="28"/>
      <c r="T638" s="28"/>
      <c r="V638" s="29"/>
      <c r="W638" s="29"/>
      <c r="AB638" s="28"/>
      <c r="CQ638" s="28"/>
      <c r="CR638" s="28"/>
      <c r="CS638" s="28"/>
    </row>
    <row r="639" spans="5:97" ht="12.75">
      <c r="E639" s="26"/>
      <c r="F639" s="26"/>
      <c r="H639" s="27"/>
      <c r="I639" s="27"/>
      <c r="S639" s="28"/>
      <c r="T639" s="28"/>
      <c r="V639" s="29"/>
      <c r="W639" s="29"/>
      <c r="AB639" s="28"/>
      <c r="CQ639" s="28"/>
      <c r="CR639" s="28"/>
      <c r="CS639" s="28"/>
    </row>
    <row r="640" spans="5:97" ht="12.75">
      <c r="E640" s="26"/>
      <c r="F640" s="26"/>
      <c r="H640" s="27"/>
      <c r="I640" s="27"/>
      <c r="S640" s="28"/>
      <c r="T640" s="28"/>
      <c r="V640" s="29"/>
      <c r="W640" s="29"/>
      <c r="AB640" s="28"/>
      <c r="CQ640" s="28"/>
      <c r="CR640" s="28"/>
      <c r="CS640" s="28"/>
    </row>
    <row r="641" spans="5:97" ht="12.75">
      <c r="E641" s="26"/>
      <c r="F641" s="26"/>
      <c r="H641" s="27"/>
      <c r="I641" s="27"/>
      <c r="S641" s="28"/>
      <c r="T641" s="28"/>
      <c r="V641" s="29"/>
      <c r="W641" s="29"/>
      <c r="AB641" s="28"/>
      <c r="CQ641" s="28"/>
      <c r="CR641" s="28"/>
      <c r="CS641" s="28"/>
    </row>
    <row r="642" spans="5:97" ht="12.75">
      <c r="E642" s="26"/>
      <c r="F642" s="26"/>
      <c r="H642" s="27"/>
      <c r="I642" s="27"/>
      <c r="S642" s="28"/>
      <c r="T642" s="28"/>
      <c r="V642" s="29"/>
      <c r="W642" s="29"/>
      <c r="AB642" s="28"/>
      <c r="CQ642" s="28"/>
      <c r="CR642" s="28"/>
      <c r="CS642" s="28"/>
    </row>
    <row r="643" spans="5:97" ht="12.75">
      <c r="E643" s="26"/>
      <c r="F643" s="26"/>
      <c r="H643" s="27"/>
      <c r="I643" s="27"/>
      <c r="S643" s="28"/>
      <c r="T643" s="28"/>
      <c r="V643" s="29"/>
      <c r="W643" s="29"/>
      <c r="AB643" s="28"/>
      <c r="CQ643" s="28"/>
      <c r="CR643" s="28"/>
      <c r="CS643" s="28"/>
    </row>
    <row r="644" spans="5:97" ht="12.75">
      <c r="E644" s="26"/>
      <c r="F644" s="26"/>
      <c r="H644" s="27"/>
      <c r="I644" s="27"/>
      <c r="S644" s="28"/>
      <c r="T644" s="28"/>
      <c r="V644" s="29"/>
      <c r="W644" s="29"/>
      <c r="AB644" s="28"/>
      <c r="CQ644" s="28"/>
      <c r="CR644" s="28"/>
      <c r="CS644" s="28"/>
    </row>
    <row r="645" spans="5:97" ht="12.75">
      <c r="E645" s="26"/>
      <c r="F645" s="26"/>
      <c r="H645" s="27"/>
      <c r="I645" s="27"/>
      <c r="S645" s="28"/>
      <c r="T645" s="28"/>
      <c r="V645" s="29"/>
      <c r="W645" s="29"/>
      <c r="AB645" s="28"/>
      <c r="CQ645" s="28"/>
      <c r="CR645" s="28"/>
      <c r="CS645" s="28"/>
    </row>
    <row r="646" spans="5:97" ht="12.75">
      <c r="E646" s="26"/>
      <c r="F646" s="26"/>
      <c r="H646" s="27"/>
      <c r="I646" s="27"/>
      <c r="S646" s="28"/>
      <c r="T646" s="28"/>
      <c r="V646" s="29"/>
      <c r="W646" s="29"/>
      <c r="AB646" s="28"/>
      <c r="CQ646" s="28"/>
      <c r="CR646" s="28"/>
      <c r="CS646" s="28"/>
    </row>
    <row r="647" spans="5:97" ht="12.75">
      <c r="E647" s="26"/>
      <c r="F647" s="26"/>
      <c r="H647" s="27"/>
      <c r="I647" s="27"/>
      <c r="S647" s="28"/>
      <c r="T647" s="28"/>
      <c r="V647" s="29"/>
      <c r="W647" s="29"/>
      <c r="AB647" s="28"/>
      <c r="CQ647" s="28"/>
      <c r="CR647" s="28"/>
      <c r="CS647" s="28"/>
    </row>
    <row r="648" spans="5:97" ht="12.75">
      <c r="E648" s="26"/>
      <c r="F648" s="26"/>
      <c r="H648" s="27"/>
      <c r="I648" s="27"/>
      <c r="S648" s="28"/>
      <c r="T648" s="28"/>
      <c r="V648" s="29"/>
      <c r="W648" s="29"/>
      <c r="AB648" s="28"/>
      <c r="CQ648" s="28"/>
      <c r="CR648" s="28"/>
      <c r="CS648" s="28"/>
    </row>
    <row r="649" spans="5:97" ht="12.75">
      <c r="E649" s="26"/>
      <c r="F649" s="26"/>
      <c r="H649" s="27"/>
      <c r="I649" s="27"/>
      <c r="S649" s="28"/>
      <c r="T649" s="28"/>
      <c r="V649" s="29"/>
      <c r="W649" s="29"/>
      <c r="AB649" s="28"/>
      <c r="CQ649" s="28"/>
      <c r="CR649" s="28"/>
      <c r="CS649" s="28"/>
    </row>
    <row r="650" spans="5:97" ht="12.75">
      <c r="E650" s="26"/>
      <c r="F650" s="26"/>
      <c r="H650" s="27"/>
      <c r="I650" s="27"/>
      <c r="S650" s="28"/>
      <c r="T650" s="28"/>
      <c r="V650" s="29"/>
      <c r="W650" s="29"/>
      <c r="AB650" s="28"/>
      <c r="CQ650" s="28"/>
      <c r="CR650" s="28"/>
      <c r="CS650" s="28"/>
    </row>
    <row r="651" spans="5:97" ht="12.75">
      <c r="E651" s="26"/>
      <c r="F651" s="26"/>
      <c r="H651" s="27"/>
      <c r="I651" s="27"/>
      <c r="S651" s="28"/>
      <c r="T651" s="28"/>
      <c r="V651" s="29"/>
      <c r="W651" s="29"/>
      <c r="AB651" s="28"/>
      <c r="CQ651" s="28"/>
      <c r="CR651" s="28"/>
      <c r="CS651" s="28"/>
    </row>
    <row r="652" spans="5:97" ht="12.75">
      <c r="E652" s="26"/>
      <c r="F652" s="26"/>
      <c r="H652" s="27"/>
      <c r="I652" s="27"/>
      <c r="S652" s="28"/>
      <c r="T652" s="28"/>
      <c r="V652" s="29"/>
      <c r="W652" s="29"/>
      <c r="AB652" s="28"/>
      <c r="CQ652" s="28"/>
      <c r="CR652" s="28"/>
      <c r="CS652" s="28"/>
    </row>
    <row r="653" spans="5:97" ht="12.75">
      <c r="E653" s="26"/>
      <c r="F653" s="26"/>
      <c r="H653" s="27"/>
      <c r="I653" s="27"/>
      <c r="S653" s="28"/>
      <c r="T653" s="28"/>
      <c r="V653" s="29"/>
      <c r="W653" s="29"/>
      <c r="AB653" s="28"/>
      <c r="CQ653" s="28"/>
      <c r="CR653" s="28"/>
      <c r="CS653" s="28"/>
    </row>
    <row r="654" spans="5:97" ht="12.75">
      <c r="E654" s="26"/>
      <c r="F654" s="26"/>
      <c r="H654" s="27"/>
      <c r="I654" s="27"/>
      <c r="S654" s="28"/>
      <c r="T654" s="28"/>
      <c r="V654" s="29"/>
      <c r="W654" s="29"/>
      <c r="AB654" s="28"/>
      <c r="CQ654" s="28"/>
      <c r="CR654" s="28"/>
      <c r="CS654" s="28"/>
    </row>
    <row r="655" spans="5:97" ht="12.75">
      <c r="E655" s="26"/>
      <c r="F655" s="26"/>
      <c r="H655" s="27"/>
      <c r="I655" s="27"/>
      <c r="S655" s="28"/>
      <c r="T655" s="28"/>
      <c r="V655" s="29"/>
      <c r="W655" s="29"/>
      <c r="AB655" s="28"/>
      <c r="CQ655" s="28"/>
      <c r="CR655" s="28"/>
      <c r="CS655" s="28"/>
    </row>
    <row r="656" spans="5:97" ht="12.75">
      <c r="E656" s="26"/>
      <c r="F656" s="26"/>
      <c r="H656" s="27"/>
      <c r="I656" s="27"/>
      <c r="S656" s="28"/>
      <c r="T656" s="28"/>
      <c r="V656" s="29"/>
      <c r="W656" s="29"/>
      <c r="AB656" s="28"/>
      <c r="CQ656" s="28"/>
      <c r="CR656" s="28"/>
      <c r="CS656" s="28"/>
    </row>
    <row r="657" spans="5:97" ht="12.75">
      <c r="E657" s="26"/>
      <c r="F657" s="26"/>
      <c r="H657" s="27"/>
      <c r="I657" s="27"/>
      <c r="S657" s="28"/>
      <c r="T657" s="28"/>
      <c r="V657" s="29"/>
      <c r="W657" s="29"/>
      <c r="AB657" s="28"/>
      <c r="CQ657" s="28"/>
      <c r="CR657" s="28"/>
      <c r="CS657" s="28"/>
    </row>
    <row r="658" spans="5:97" ht="12.75">
      <c r="E658" s="26"/>
      <c r="F658" s="26"/>
      <c r="H658" s="27"/>
      <c r="I658" s="27"/>
      <c r="S658" s="28"/>
      <c r="T658" s="28"/>
      <c r="V658" s="29"/>
      <c r="W658" s="29"/>
      <c r="AB658" s="28"/>
      <c r="CQ658" s="28"/>
      <c r="CR658" s="28"/>
      <c r="CS658" s="28"/>
    </row>
    <row r="659" spans="5:97" ht="12.75">
      <c r="E659" s="26"/>
      <c r="F659" s="26"/>
      <c r="H659" s="27"/>
      <c r="I659" s="27"/>
      <c r="S659" s="28"/>
      <c r="T659" s="28"/>
      <c r="V659" s="29"/>
      <c r="W659" s="29"/>
      <c r="AB659" s="28"/>
      <c r="CQ659" s="28"/>
      <c r="CR659" s="28"/>
      <c r="CS659" s="28"/>
    </row>
    <row r="660" spans="5:97" ht="12.75">
      <c r="E660" s="26"/>
      <c r="F660" s="26"/>
      <c r="H660" s="27"/>
      <c r="I660" s="27"/>
      <c r="S660" s="28"/>
      <c r="T660" s="28"/>
      <c r="V660" s="29"/>
      <c r="W660" s="29"/>
      <c r="AB660" s="28"/>
      <c r="CQ660" s="28"/>
      <c r="CR660" s="28"/>
      <c r="CS660" s="28"/>
    </row>
    <row r="661" spans="5:97" ht="12.75">
      <c r="E661" s="26"/>
      <c r="F661" s="26"/>
      <c r="H661" s="27"/>
      <c r="I661" s="27"/>
      <c r="S661" s="28"/>
      <c r="T661" s="28"/>
      <c r="V661" s="29"/>
      <c r="W661" s="29"/>
      <c r="AB661" s="28"/>
      <c r="CQ661" s="28"/>
      <c r="CR661" s="28"/>
      <c r="CS661" s="28"/>
    </row>
    <row r="662" spans="5:97" ht="12.75">
      <c r="E662" s="26"/>
      <c r="F662" s="26"/>
      <c r="H662" s="27"/>
      <c r="I662" s="27"/>
      <c r="S662" s="28"/>
      <c r="T662" s="28"/>
      <c r="V662" s="29"/>
      <c r="W662" s="29"/>
      <c r="AB662" s="28"/>
      <c r="CQ662" s="28"/>
      <c r="CR662" s="28"/>
      <c r="CS662" s="28"/>
    </row>
    <row r="663" spans="5:97" ht="12.75">
      <c r="E663" s="26"/>
      <c r="F663" s="26"/>
      <c r="H663" s="27"/>
      <c r="I663" s="27"/>
      <c r="S663" s="28"/>
      <c r="T663" s="28"/>
      <c r="V663" s="29"/>
      <c r="W663" s="29"/>
      <c r="AB663" s="28"/>
      <c r="CQ663" s="28"/>
      <c r="CR663" s="28"/>
      <c r="CS663" s="28"/>
    </row>
    <row r="664" spans="5:97" ht="12.75">
      <c r="E664" s="26"/>
      <c r="F664" s="26"/>
      <c r="H664" s="27"/>
      <c r="I664" s="27"/>
      <c r="S664" s="28"/>
      <c r="T664" s="28"/>
      <c r="V664" s="29"/>
      <c r="W664" s="29"/>
      <c r="AB664" s="28"/>
      <c r="CQ664" s="28"/>
      <c r="CR664" s="28"/>
      <c r="CS664" s="28"/>
    </row>
    <row r="665" spans="5:97" ht="12.75">
      <c r="E665" s="26"/>
      <c r="F665" s="26"/>
      <c r="H665" s="27"/>
      <c r="I665" s="27"/>
      <c r="S665" s="28"/>
      <c r="T665" s="28"/>
      <c r="V665" s="29"/>
      <c r="W665" s="29"/>
      <c r="AB665" s="28"/>
      <c r="CQ665" s="28"/>
      <c r="CR665" s="28"/>
      <c r="CS665" s="28"/>
    </row>
    <row r="666" spans="5:97" ht="12.75">
      <c r="E666" s="26"/>
      <c r="F666" s="26"/>
      <c r="H666" s="27"/>
      <c r="I666" s="27"/>
      <c r="S666" s="28"/>
      <c r="T666" s="28"/>
      <c r="V666" s="29"/>
      <c r="W666" s="29"/>
      <c r="AB666" s="28"/>
      <c r="CQ666" s="28"/>
      <c r="CR666" s="28"/>
      <c r="CS666" s="28"/>
    </row>
    <row r="667" spans="5:97" ht="12.75">
      <c r="E667" s="26"/>
      <c r="F667" s="26"/>
      <c r="H667" s="27"/>
      <c r="I667" s="27"/>
      <c r="S667" s="28"/>
      <c r="T667" s="28"/>
      <c r="V667" s="29"/>
      <c r="W667" s="29"/>
      <c r="AB667" s="28"/>
      <c r="CQ667" s="28"/>
      <c r="CR667" s="28"/>
      <c r="CS667" s="28"/>
    </row>
    <row r="668" spans="5:97" ht="12.75">
      <c r="E668" s="26"/>
      <c r="F668" s="26"/>
      <c r="H668" s="27"/>
      <c r="I668" s="27"/>
      <c r="S668" s="28"/>
      <c r="T668" s="28"/>
      <c r="V668" s="29"/>
      <c r="W668" s="29"/>
      <c r="AB668" s="28"/>
      <c r="CQ668" s="28"/>
      <c r="CR668" s="28"/>
      <c r="CS668" s="28"/>
    </row>
    <row r="669" spans="5:97" ht="12.75">
      <c r="E669" s="26"/>
      <c r="F669" s="26"/>
      <c r="H669" s="27"/>
      <c r="I669" s="27"/>
      <c r="S669" s="28"/>
      <c r="T669" s="28"/>
      <c r="V669" s="29"/>
      <c r="W669" s="29"/>
      <c r="AB669" s="28"/>
      <c r="CQ669" s="28"/>
      <c r="CR669" s="28"/>
      <c r="CS669" s="28"/>
    </row>
    <row r="670" spans="5:97" ht="12.75">
      <c r="E670" s="26"/>
      <c r="F670" s="26"/>
      <c r="H670" s="27"/>
      <c r="I670" s="27"/>
      <c r="S670" s="28"/>
      <c r="T670" s="28"/>
      <c r="V670" s="29"/>
      <c r="W670" s="29"/>
      <c r="AB670" s="28"/>
      <c r="CQ670" s="28"/>
      <c r="CR670" s="28"/>
      <c r="CS670" s="28"/>
    </row>
    <row r="671" spans="5:97" ht="12.75">
      <c r="E671" s="26"/>
      <c r="F671" s="26"/>
      <c r="H671" s="27"/>
      <c r="I671" s="27"/>
      <c r="S671" s="28"/>
      <c r="T671" s="28"/>
      <c r="V671" s="29"/>
      <c r="W671" s="29"/>
      <c r="AB671" s="28"/>
      <c r="CQ671" s="28"/>
      <c r="CR671" s="28"/>
      <c r="CS671" s="28"/>
    </row>
    <row r="672" spans="5:97" ht="12.75">
      <c r="E672" s="26"/>
      <c r="F672" s="26"/>
      <c r="H672" s="27"/>
      <c r="I672" s="27"/>
      <c r="S672" s="28"/>
      <c r="T672" s="28"/>
      <c r="V672" s="29"/>
      <c r="W672" s="29"/>
      <c r="AB672" s="28"/>
      <c r="CQ672" s="28"/>
      <c r="CR672" s="28"/>
      <c r="CS672" s="28"/>
    </row>
    <row r="673" spans="5:97" ht="12.75">
      <c r="E673" s="26"/>
      <c r="F673" s="26"/>
      <c r="H673" s="27"/>
      <c r="I673" s="27"/>
      <c r="S673" s="28"/>
      <c r="T673" s="28"/>
      <c r="V673" s="29"/>
      <c r="W673" s="29"/>
      <c r="AB673" s="28"/>
      <c r="CQ673" s="28"/>
      <c r="CR673" s="28"/>
      <c r="CS673" s="28"/>
    </row>
    <row r="674" spans="5:97" ht="12.75">
      <c r="E674" s="26"/>
      <c r="F674" s="26"/>
      <c r="H674" s="27"/>
      <c r="I674" s="27"/>
      <c r="S674" s="28"/>
      <c r="T674" s="28"/>
      <c r="V674" s="29"/>
      <c r="W674" s="29"/>
      <c r="AB674" s="28"/>
      <c r="CQ674" s="28"/>
      <c r="CR674" s="28"/>
      <c r="CS674" s="28"/>
    </row>
    <row r="675" spans="5:97" ht="12.75">
      <c r="E675" s="26"/>
      <c r="F675" s="26"/>
      <c r="H675" s="27"/>
      <c r="I675" s="27"/>
      <c r="S675" s="28"/>
      <c r="T675" s="28"/>
      <c r="V675" s="29"/>
      <c r="W675" s="29"/>
      <c r="AB675" s="28"/>
      <c r="CQ675" s="28"/>
      <c r="CR675" s="28"/>
      <c r="CS675" s="28"/>
    </row>
    <row r="676" spans="5:97" ht="12.75">
      <c r="E676" s="26"/>
      <c r="F676" s="26"/>
      <c r="H676" s="27"/>
      <c r="I676" s="27"/>
      <c r="S676" s="28"/>
      <c r="T676" s="28"/>
      <c r="V676" s="29"/>
      <c r="W676" s="29"/>
      <c r="AB676" s="28"/>
      <c r="CQ676" s="28"/>
      <c r="CR676" s="28"/>
      <c r="CS676" s="28"/>
    </row>
    <row r="677" spans="5:97" ht="12.75">
      <c r="E677" s="26"/>
      <c r="F677" s="26"/>
      <c r="H677" s="27"/>
      <c r="I677" s="27"/>
      <c r="S677" s="28"/>
      <c r="T677" s="28"/>
      <c r="V677" s="29"/>
      <c r="W677" s="29"/>
      <c r="AB677" s="28"/>
      <c r="CQ677" s="28"/>
      <c r="CR677" s="28"/>
      <c r="CS677" s="28"/>
    </row>
    <row r="678" spans="5:97" ht="12.75">
      <c r="E678" s="26"/>
      <c r="F678" s="26"/>
      <c r="H678" s="27"/>
      <c r="I678" s="27"/>
      <c r="S678" s="28"/>
      <c r="T678" s="28"/>
      <c r="V678" s="29"/>
      <c r="W678" s="29"/>
      <c r="AB678" s="28"/>
      <c r="CQ678" s="28"/>
      <c r="CR678" s="28"/>
      <c r="CS678" s="28"/>
    </row>
    <row r="679" spans="5:97" ht="12.75">
      <c r="E679" s="26"/>
      <c r="F679" s="26"/>
      <c r="H679" s="27"/>
      <c r="I679" s="27"/>
      <c r="S679" s="28"/>
      <c r="T679" s="28"/>
      <c r="V679" s="29"/>
      <c r="W679" s="29"/>
      <c r="AB679" s="28"/>
      <c r="CQ679" s="28"/>
      <c r="CR679" s="28"/>
      <c r="CS679" s="28"/>
    </row>
    <row r="680" spans="5:97" ht="12.75">
      <c r="E680" s="26"/>
      <c r="F680" s="26"/>
      <c r="H680" s="27"/>
      <c r="I680" s="27"/>
      <c r="S680" s="28"/>
      <c r="T680" s="28"/>
      <c r="V680" s="29"/>
      <c r="W680" s="29"/>
      <c r="AB680" s="28"/>
      <c r="CQ680" s="28"/>
      <c r="CR680" s="28"/>
      <c r="CS680" s="28"/>
    </row>
    <row r="681" spans="5:97" ht="12.75">
      <c r="E681" s="26"/>
      <c r="F681" s="26"/>
      <c r="H681" s="27"/>
      <c r="I681" s="27"/>
      <c r="S681" s="28"/>
      <c r="T681" s="28"/>
      <c r="V681" s="29"/>
      <c r="W681" s="29"/>
      <c r="AB681" s="28"/>
      <c r="CQ681" s="28"/>
      <c r="CR681" s="28"/>
      <c r="CS681" s="28"/>
    </row>
    <row r="682" spans="5:97" ht="12.75">
      <c r="E682" s="26"/>
      <c r="F682" s="26"/>
      <c r="H682" s="27"/>
      <c r="I682" s="27"/>
      <c r="S682" s="28"/>
      <c r="T682" s="28"/>
      <c r="V682" s="29"/>
      <c r="W682" s="29"/>
      <c r="AB682" s="28"/>
      <c r="CQ682" s="28"/>
      <c r="CR682" s="28"/>
      <c r="CS682" s="28"/>
    </row>
    <row r="683" spans="5:97" ht="12.75">
      <c r="E683" s="26"/>
      <c r="F683" s="26"/>
      <c r="H683" s="27"/>
      <c r="I683" s="27"/>
      <c r="S683" s="28"/>
      <c r="T683" s="28"/>
      <c r="V683" s="29"/>
      <c r="W683" s="29"/>
      <c r="AB683" s="28"/>
      <c r="CQ683" s="28"/>
      <c r="CR683" s="28"/>
      <c r="CS683" s="28"/>
    </row>
    <row r="684" spans="5:97" ht="12.75">
      <c r="E684" s="26"/>
      <c r="F684" s="26"/>
      <c r="H684" s="27"/>
      <c r="I684" s="27"/>
      <c r="S684" s="28"/>
      <c r="T684" s="28"/>
      <c r="V684" s="29"/>
      <c r="W684" s="29"/>
      <c r="AB684" s="28"/>
      <c r="CQ684" s="28"/>
      <c r="CR684" s="28"/>
      <c r="CS684" s="28"/>
    </row>
    <row r="685" spans="5:97" ht="12.75">
      <c r="E685" s="26"/>
      <c r="F685" s="26"/>
      <c r="H685" s="27"/>
      <c r="I685" s="27"/>
      <c r="S685" s="28"/>
      <c r="T685" s="28"/>
      <c r="V685" s="29"/>
      <c r="W685" s="29"/>
      <c r="AB685" s="28"/>
      <c r="CQ685" s="28"/>
      <c r="CR685" s="28"/>
      <c r="CS685" s="28"/>
    </row>
    <row r="686" spans="5:97" ht="12.75">
      <c r="E686" s="26"/>
      <c r="F686" s="26"/>
      <c r="H686" s="27"/>
      <c r="I686" s="27"/>
      <c r="S686" s="28"/>
      <c r="T686" s="28"/>
      <c r="V686" s="29"/>
      <c r="W686" s="29"/>
      <c r="AB686" s="28"/>
      <c r="CQ686" s="28"/>
      <c r="CR686" s="28"/>
      <c r="CS686" s="28"/>
    </row>
    <row r="687" spans="5:97" ht="12.75">
      <c r="E687" s="26"/>
      <c r="F687" s="26"/>
      <c r="H687" s="27"/>
      <c r="I687" s="27"/>
      <c r="S687" s="28"/>
      <c r="T687" s="28"/>
      <c r="V687" s="29"/>
      <c r="W687" s="29"/>
      <c r="AB687" s="28"/>
      <c r="CQ687" s="28"/>
      <c r="CR687" s="28"/>
      <c r="CS687" s="28"/>
    </row>
    <row r="688" spans="5:97" ht="12.75">
      <c r="E688" s="26"/>
      <c r="F688" s="26"/>
      <c r="H688" s="27"/>
      <c r="I688" s="27"/>
      <c r="S688" s="28"/>
      <c r="T688" s="28"/>
      <c r="V688" s="29"/>
      <c r="W688" s="29"/>
      <c r="AB688" s="28"/>
      <c r="CQ688" s="28"/>
      <c r="CR688" s="28"/>
      <c r="CS688" s="28"/>
    </row>
    <row r="689" spans="5:97" ht="12.75">
      <c r="E689" s="26"/>
      <c r="F689" s="26"/>
      <c r="H689" s="27"/>
      <c r="I689" s="27"/>
      <c r="S689" s="28"/>
      <c r="T689" s="28"/>
      <c r="V689" s="29"/>
      <c r="W689" s="29"/>
      <c r="AB689" s="28"/>
      <c r="CQ689" s="28"/>
      <c r="CR689" s="28"/>
      <c r="CS689" s="28"/>
    </row>
    <row r="690" spans="5:97" ht="12.75">
      <c r="E690" s="26"/>
      <c r="F690" s="26"/>
      <c r="H690" s="27"/>
      <c r="I690" s="27"/>
      <c r="S690" s="28"/>
      <c r="T690" s="28"/>
      <c r="V690" s="29"/>
      <c r="W690" s="29"/>
      <c r="AB690" s="28"/>
      <c r="CQ690" s="28"/>
      <c r="CR690" s="28"/>
      <c r="CS690" s="28"/>
    </row>
    <row r="691" spans="5:97" ht="12.75">
      <c r="E691" s="26"/>
      <c r="F691" s="26"/>
      <c r="H691" s="27"/>
      <c r="I691" s="27"/>
      <c r="S691" s="28"/>
      <c r="T691" s="28"/>
      <c r="V691" s="29"/>
      <c r="W691" s="29"/>
      <c r="AB691" s="28"/>
      <c r="CQ691" s="28"/>
      <c r="CR691" s="28"/>
      <c r="CS691" s="28"/>
    </row>
    <row r="692" spans="5:97" ht="12.75">
      <c r="E692" s="26"/>
      <c r="F692" s="26"/>
      <c r="H692" s="27"/>
      <c r="I692" s="27"/>
      <c r="S692" s="28"/>
      <c r="T692" s="28"/>
      <c r="V692" s="29"/>
      <c r="W692" s="29"/>
      <c r="AB692" s="28"/>
      <c r="CQ692" s="28"/>
      <c r="CR692" s="28"/>
      <c r="CS692" s="28"/>
    </row>
    <row r="693" spans="5:97" ht="12.75">
      <c r="E693" s="26"/>
      <c r="F693" s="26"/>
      <c r="H693" s="27"/>
      <c r="I693" s="27"/>
      <c r="S693" s="28"/>
      <c r="T693" s="28"/>
      <c r="V693" s="29"/>
      <c r="W693" s="29"/>
      <c r="AB693" s="28"/>
      <c r="CQ693" s="28"/>
      <c r="CR693" s="28"/>
      <c r="CS693" s="28"/>
    </row>
    <row r="694" spans="5:97" ht="12.75">
      <c r="E694" s="26"/>
      <c r="F694" s="26"/>
      <c r="H694" s="27"/>
      <c r="I694" s="27"/>
      <c r="S694" s="28"/>
      <c r="T694" s="28"/>
      <c r="V694" s="29"/>
      <c r="W694" s="29"/>
      <c r="AB694" s="28"/>
      <c r="CQ694" s="28"/>
      <c r="CR694" s="28"/>
      <c r="CS694" s="28"/>
    </row>
    <row r="695" spans="5:97" ht="12.75">
      <c r="E695" s="26"/>
      <c r="F695" s="26"/>
      <c r="H695" s="27"/>
      <c r="I695" s="27"/>
      <c r="S695" s="28"/>
      <c r="T695" s="28"/>
      <c r="V695" s="29"/>
      <c r="W695" s="29"/>
      <c r="AB695" s="28"/>
      <c r="CQ695" s="28"/>
      <c r="CR695" s="28"/>
      <c r="CS695" s="28"/>
    </row>
    <row r="696" spans="5:97" ht="12.75">
      <c r="E696" s="26"/>
      <c r="F696" s="26"/>
      <c r="H696" s="27"/>
      <c r="I696" s="27"/>
      <c r="S696" s="28"/>
      <c r="T696" s="28"/>
      <c r="V696" s="29"/>
      <c r="W696" s="29"/>
      <c r="AB696" s="28"/>
      <c r="CQ696" s="28"/>
      <c r="CR696" s="28"/>
      <c r="CS696" s="28"/>
    </row>
    <row r="697" spans="5:97" ht="12.75">
      <c r="E697" s="26"/>
      <c r="F697" s="26"/>
      <c r="H697" s="27"/>
      <c r="I697" s="27"/>
      <c r="S697" s="28"/>
      <c r="T697" s="28"/>
      <c r="V697" s="29"/>
      <c r="W697" s="29"/>
      <c r="AB697" s="28"/>
      <c r="CQ697" s="28"/>
      <c r="CR697" s="28"/>
      <c r="CS697" s="28"/>
    </row>
    <row r="698" spans="5:97" ht="12.75">
      <c r="E698" s="26"/>
      <c r="F698" s="26"/>
      <c r="H698" s="27"/>
      <c r="I698" s="27"/>
      <c r="S698" s="28"/>
      <c r="T698" s="28"/>
      <c r="V698" s="29"/>
      <c r="W698" s="29"/>
      <c r="AB698" s="28"/>
      <c r="CQ698" s="28"/>
      <c r="CR698" s="28"/>
      <c r="CS698" s="28"/>
    </row>
    <row r="699" spans="5:97" ht="12.75">
      <c r="E699" s="26"/>
      <c r="F699" s="26"/>
      <c r="H699" s="27"/>
      <c r="I699" s="27"/>
      <c r="S699" s="28"/>
      <c r="T699" s="28"/>
      <c r="V699" s="29"/>
      <c r="W699" s="29"/>
      <c r="AB699" s="28"/>
      <c r="CQ699" s="28"/>
      <c r="CR699" s="28"/>
      <c r="CS699" s="28"/>
    </row>
    <row r="700" spans="5:97" ht="12.75">
      <c r="E700" s="26"/>
      <c r="F700" s="26"/>
      <c r="H700" s="27"/>
      <c r="I700" s="27"/>
      <c r="S700" s="28"/>
      <c r="T700" s="28"/>
      <c r="V700" s="29"/>
      <c r="W700" s="29"/>
      <c r="AB700" s="28"/>
      <c r="CQ700" s="28"/>
      <c r="CR700" s="28"/>
      <c r="CS700" s="28"/>
    </row>
    <row r="701" spans="5:97" ht="12.75">
      <c r="E701" s="26"/>
      <c r="F701" s="26"/>
      <c r="H701" s="27"/>
      <c r="I701" s="27"/>
      <c r="S701" s="28"/>
      <c r="T701" s="28"/>
      <c r="V701" s="29"/>
      <c r="W701" s="29"/>
      <c r="AB701" s="28"/>
      <c r="CQ701" s="28"/>
      <c r="CR701" s="28"/>
      <c r="CS701" s="28"/>
    </row>
    <row r="702" spans="5:97" ht="12.75">
      <c r="E702" s="26"/>
      <c r="F702" s="26"/>
      <c r="H702" s="27"/>
      <c r="I702" s="27"/>
      <c r="S702" s="28"/>
      <c r="T702" s="28"/>
      <c r="V702" s="29"/>
      <c r="W702" s="29"/>
      <c r="AB702" s="28"/>
      <c r="CQ702" s="28"/>
      <c r="CR702" s="28"/>
      <c r="CS702" s="28"/>
    </row>
    <row r="703" spans="5:97" ht="12.75">
      <c r="E703" s="26"/>
      <c r="F703" s="26"/>
      <c r="H703" s="27"/>
      <c r="I703" s="27"/>
      <c r="S703" s="28"/>
      <c r="T703" s="28"/>
      <c r="V703" s="29"/>
      <c r="W703" s="29"/>
      <c r="AB703" s="28"/>
      <c r="CQ703" s="28"/>
      <c r="CR703" s="28"/>
      <c r="CS703" s="28"/>
    </row>
    <row r="704" spans="5:97" ht="12.75">
      <c r="E704" s="26"/>
      <c r="F704" s="26"/>
      <c r="H704" s="27"/>
      <c r="I704" s="27"/>
      <c r="S704" s="28"/>
      <c r="T704" s="28"/>
      <c r="V704" s="29"/>
      <c r="W704" s="29"/>
      <c r="AB704" s="28"/>
      <c r="CQ704" s="28"/>
      <c r="CR704" s="28"/>
      <c r="CS704" s="28"/>
    </row>
    <row r="705" spans="5:97" ht="12.75">
      <c r="E705" s="26"/>
      <c r="F705" s="26"/>
      <c r="H705" s="27"/>
      <c r="I705" s="27"/>
      <c r="S705" s="28"/>
      <c r="T705" s="28"/>
      <c r="V705" s="29"/>
      <c r="W705" s="29"/>
      <c r="AB705" s="28"/>
      <c r="CQ705" s="28"/>
      <c r="CR705" s="28"/>
      <c r="CS705" s="28"/>
    </row>
    <row r="706" spans="5:97" ht="12.75">
      <c r="E706" s="26"/>
      <c r="F706" s="26"/>
      <c r="H706" s="27"/>
      <c r="I706" s="27"/>
      <c r="S706" s="28"/>
      <c r="T706" s="28"/>
      <c r="V706" s="29"/>
      <c r="W706" s="29"/>
      <c r="AB706" s="28"/>
      <c r="CQ706" s="28"/>
      <c r="CR706" s="28"/>
      <c r="CS706" s="28"/>
    </row>
    <row r="707" spans="5:97" ht="12.75">
      <c r="E707" s="26"/>
      <c r="F707" s="26"/>
      <c r="H707" s="27"/>
      <c r="I707" s="27"/>
      <c r="S707" s="28"/>
      <c r="T707" s="28"/>
      <c r="V707" s="29"/>
      <c r="W707" s="29"/>
      <c r="AB707" s="28"/>
      <c r="CQ707" s="28"/>
      <c r="CR707" s="28"/>
      <c r="CS707" s="28"/>
    </row>
    <row r="708" spans="5:97" ht="12.75">
      <c r="E708" s="26"/>
      <c r="F708" s="26"/>
      <c r="H708" s="27"/>
      <c r="I708" s="27"/>
      <c r="S708" s="28"/>
      <c r="T708" s="28"/>
      <c r="V708" s="29"/>
      <c r="W708" s="29"/>
      <c r="AB708" s="28"/>
      <c r="CQ708" s="28"/>
      <c r="CR708" s="28"/>
      <c r="CS708" s="28"/>
    </row>
    <row r="709" spans="5:97" ht="12.75">
      <c r="E709" s="26"/>
      <c r="F709" s="26"/>
      <c r="H709" s="27"/>
      <c r="I709" s="27"/>
      <c r="S709" s="28"/>
      <c r="T709" s="28"/>
      <c r="V709" s="29"/>
      <c r="W709" s="29"/>
      <c r="AB709" s="28"/>
      <c r="CQ709" s="28"/>
      <c r="CR709" s="28"/>
      <c r="CS709" s="28"/>
    </row>
    <row r="710" spans="5:97" ht="12.75">
      <c r="E710" s="26"/>
      <c r="F710" s="26"/>
      <c r="H710" s="27"/>
      <c r="I710" s="27"/>
      <c r="S710" s="28"/>
      <c r="T710" s="28"/>
      <c r="V710" s="29"/>
      <c r="W710" s="29"/>
      <c r="AB710" s="28"/>
      <c r="CQ710" s="28"/>
      <c r="CR710" s="28"/>
      <c r="CS710" s="28"/>
    </row>
    <row r="711" spans="5:97" ht="12.75">
      <c r="E711" s="26"/>
      <c r="F711" s="26"/>
      <c r="H711" s="27"/>
      <c r="I711" s="27"/>
      <c r="S711" s="28"/>
      <c r="T711" s="28"/>
      <c r="V711" s="29"/>
      <c r="W711" s="29"/>
      <c r="AB711" s="28"/>
      <c r="CQ711" s="28"/>
      <c r="CR711" s="28"/>
      <c r="CS711" s="28"/>
    </row>
    <row r="712" spans="5:97" ht="12.75">
      <c r="E712" s="26"/>
      <c r="F712" s="26"/>
      <c r="H712" s="27"/>
      <c r="I712" s="27"/>
      <c r="S712" s="28"/>
      <c r="T712" s="28"/>
      <c r="V712" s="29"/>
      <c r="W712" s="29"/>
      <c r="AB712" s="28"/>
      <c r="CQ712" s="28"/>
      <c r="CR712" s="28"/>
      <c r="CS712" s="28"/>
    </row>
    <row r="713" spans="5:97" ht="12.75">
      <c r="E713" s="26"/>
      <c r="F713" s="26"/>
      <c r="H713" s="27"/>
      <c r="I713" s="27"/>
      <c r="S713" s="28"/>
      <c r="T713" s="28"/>
      <c r="V713" s="29"/>
      <c r="W713" s="29"/>
      <c r="AB713" s="28"/>
      <c r="CQ713" s="28"/>
      <c r="CR713" s="28"/>
      <c r="CS713" s="28"/>
    </row>
    <row r="714" spans="5:98" ht="12.75">
      <c r="E714" s="26"/>
      <c r="F714" s="26"/>
      <c r="H714" s="27"/>
      <c r="I714" s="27"/>
      <c r="S714" s="28"/>
      <c r="T714" s="28"/>
      <c r="V714" s="29"/>
      <c r="W714" s="29"/>
      <c r="AB714" s="28"/>
      <c r="CQ714" s="28"/>
      <c r="CR714" s="28"/>
      <c r="CS714" s="28"/>
      <c r="CT714" s="28"/>
    </row>
    <row r="715" spans="5:97" ht="12.75">
      <c r="E715" s="26"/>
      <c r="F715" s="26"/>
      <c r="H715" s="27"/>
      <c r="I715" s="27"/>
      <c r="S715" s="28"/>
      <c r="T715" s="28"/>
      <c r="V715" s="29"/>
      <c r="W715" s="29"/>
      <c r="AB715" s="28"/>
      <c r="CQ715" s="28"/>
      <c r="CR715" s="28"/>
      <c r="CS715" s="28"/>
    </row>
    <row r="716" spans="5:97" ht="12.75">
      <c r="E716" s="26"/>
      <c r="F716" s="26"/>
      <c r="H716" s="27"/>
      <c r="I716" s="27"/>
      <c r="S716" s="28"/>
      <c r="T716" s="28"/>
      <c r="V716" s="29"/>
      <c r="W716" s="29"/>
      <c r="AB716" s="28"/>
      <c r="CQ716" s="28"/>
      <c r="CR716" s="28"/>
      <c r="CS716" s="28"/>
    </row>
    <row r="717" spans="5:97" ht="12.75">
      <c r="E717" s="26"/>
      <c r="F717" s="26"/>
      <c r="G717" s="28"/>
      <c r="H717" s="27"/>
      <c r="I717" s="27"/>
      <c r="J717" s="28"/>
      <c r="K717" s="28"/>
      <c r="L717" s="28"/>
      <c r="O717" s="28"/>
      <c r="P717" s="28"/>
      <c r="Q717" s="28"/>
      <c r="R717" s="28"/>
      <c r="S717" s="28"/>
      <c r="T717" s="28"/>
      <c r="U717" s="28"/>
      <c r="V717" s="28"/>
      <c r="W717" s="28"/>
      <c r="AB717" s="28"/>
      <c r="AC717" s="28"/>
      <c r="AD717" s="28"/>
      <c r="AE717" s="28"/>
      <c r="AG717" s="28"/>
      <c r="AH717" s="28"/>
      <c r="AI717" s="28"/>
      <c r="AJ717" s="28"/>
      <c r="AK717" s="28"/>
      <c r="CP717" s="28"/>
      <c r="CQ717" s="28"/>
      <c r="CR717" s="28"/>
      <c r="CS717" s="28"/>
    </row>
    <row r="718" spans="5:97" ht="12.75">
      <c r="E718" s="26"/>
      <c r="F718" s="26"/>
      <c r="H718" s="27"/>
      <c r="I718" s="27"/>
      <c r="S718" s="28"/>
      <c r="T718" s="28"/>
      <c r="V718" s="29"/>
      <c r="W718" s="29"/>
      <c r="AB718" s="28"/>
      <c r="CQ718" s="28"/>
      <c r="CR718" s="28"/>
      <c r="CS718" s="28"/>
    </row>
    <row r="719" spans="5:97" ht="12.75">
      <c r="E719" s="26"/>
      <c r="F719" s="26"/>
      <c r="H719" s="27"/>
      <c r="I719" s="27"/>
      <c r="S719" s="28"/>
      <c r="T719" s="28"/>
      <c r="V719" s="29"/>
      <c r="W719" s="29"/>
      <c r="AB719" s="28"/>
      <c r="CQ719" s="28"/>
      <c r="CR719" s="28"/>
      <c r="CS719" s="28"/>
    </row>
    <row r="720" spans="5:97" ht="12.75">
      <c r="E720" s="26"/>
      <c r="F720" s="26"/>
      <c r="H720" s="27"/>
      <c r="I720" s="27"/>
      <c r="S720" s="28"/>
      <c r="T720" s="28"/>
      <c r="V720" s="29"/>
      <c r="W720" s="29"/>
      <c r="AB720" s="28"/>
      <c r="CQ720" s="28"/>
      <c r="CR720" s="28"/>
      <c r="CS720" s="28"/>
    </row>
    <row r="721" spans="5:97" ht="12.75">
      <c r="E721" s="26"/>
      <c r="F721" s="26"/>
      <c r="H721" s="27"/>
      <c r="I721" s="27"/>
      <c r="S721" s="28"/>
      <c r="T721" s="28"/>
      <c r="V721" s="29"/>
      <c r="W721" s="29"/>
      <c r="AB721" s="28"/>
      <c r="CQ721" s="28"/>
      <c r="CR721" s="28"/>
      <c r="CS721" s="28"/>
    </row>
    <row r="722" spans="5:97" ht="12.75">
      <c r="E722" s="26"/>
      <c r="F722" s="26"/>
      <c r="H722" s="27"/>
      <c r="I722" s="27"/>
      <c r="S722" s="28"/>
      <c r="T722" s="28"/>
      <c r="V722" s="29"/>
      <c r="W722" s="29"/>
      <c r="AB722" s="28"/>
      <c r="CQ722" s="28"/>
      <c r="CR722" s="28"/>
      <c r="CS722" s="28"/>
    </row>
    <row r="723" spans="5:97" ht="12.75">
      <c r="E723" s="26"/>
      <c r="F723" s="26"/>
      <c r="H723" s="27"/>
      <c r="I723" s="27"/>
      <c r="S723" s="28"/>
      <c r="T723" s="28"/>
      <c r="V723" s="29"/>
      <c r="W723" s="29"/>
      <c r="AB723" s="28"/>
      <c r="CQ723" s="28"/>
      <c r="CR723" s="28"/>
      <c r="CS723" s="28"/>
    </row>
    <row r="724" spans="5:97" ht="12.75">
      <c r="E724" s="26"/>
      <c r="F724" s="26"/>
      <c r="H724" s="27"/>
      <c r="I724" s="27"/>
      <c r="S724" s="28"/>
      <c r="T724" s="28"/>
      <c r="V724" s="29"/>
      <c r="W724" s="29"/>
      <c r="AB724" s="28"/>
      <c r="CQ724" s="28"/>
      <c r="CR724" s="28"/>
      <c r="CS724" s="28"/>
    </row>
    <row r="725" spans="5:97" ht="12.75">
      <c r="E725" s="26"/>
      <c r="F725" s="26"/>
      <c r="H725" s="27"/>
      <c r="I725" s="27"/>
      <c r="S725" s="28"/>
      <c r="T725" s="28"/>
      <c r="V725" s="29"/>
      <c r="W725" s="29"/>
      <c r="AB725" s="28"/>
      <c r="CQ725" s="28"/>
      <c r="CR725" s="28"/>
      <c r="CS725" s="28"/>
    </row>
    <row r="726" spans="5:97" ht="12.75">
      <c r="E726" s="26"/>
      <c r="F726" s="26"/>
      <c r="H726" s="27"/>
      <c r="I726" s="27"/>
      <c r="S726" s="28"/>
      <c r="T726" s="28"/>
      <c r="V726" s="29"/>
      <c r="W726" s="29"/>
      <c r="AB726" s="28"/>
      <c r="CQ726" s="28"/>
      <c r="CR726" s="28"/>
      <c r="CS726" s="28"/>
    </row>
    <row r="727" spans="5:97" ht="12.75">
      <c r="E727" s="26"/>
      <c r="F727" s="26"/>
      <c r="H727" s="27"/>
      <c r="I727" s="27"/>
      <c r="S727" s="28"/>
      <c r="T727" s="28"/>
      <c r="V727" s="29"/>
      <c r="W727" s="29"/>
      <c r="AB727" s="28"/>
      <c r="CQ727" s="28"/>
      <c r="CR727" s="28"/>
      <c r="CS727" s="28"/>
    </row>
    <row r="728" spans="5:97" ht="12.75">
      <c r="E728" s="26"/>
      <c r="F728" s="26"/>
      <c r="H728" s="27"/>
      <c r="I728" s="27"/>
      <c r="S728" s="28"/>
      <c r="T728" s="28"/>
      <c r="V728" s="29"/>
      <c r="W728" s="29"/>
      <c r="AB728" s="28"/>
      <c r="CQ728" s="28"/>
      <c r="CR728" s="28"/>
      <c r="CS728" s="28"/>
    </row>
    <row r="729" spans="5:97" ht="12.75">
      <c r="E729" s="26"/>
      <c r="F729" s="26"/>
      <c r="H729" s="27"/>
      <c r="I729" s="27"/>
      <c r="S729" s="28"/>
      <c r="T729" s="28"/>
      <c r="V729" s="29"/>
      <c r="W729" s="29"/>
      <c r="AB729" s="28"/>
      <c r="CQ729" s="28"/>
      <c r="CR729" s="28"/>
      <c r="CS729" s="28"/>
    </row>
    <row r="730" spans="5:97" ht="12.75">
      <c r="E730" s="26"/>
      <c r="F730" s="26"/>
      <c r="H730" s="27"/>
      <c r="I730" s="27"/>
      <c r="S730" s="28"/>
      <c r="T730" s="28"/>
      <c r="V730" s="29"/>
      <c r="W730" s="29"/>
      <c r="AB730" s="28"/>
      <c r="CQ730" s="28"/>
      <c r="CR730" s="28"/>
      <c r="CS730" s="28"/>
    </row>
    <row r="731" spans="5:97" ht="12.75">
      <c r="E731" s="26"/>
      <c r="F731" s="26"/>
      <c r="H731" s="27"/>
      <c r="I731" s="27"/>
      <c r="S731" s="28"/>
      <c r="T731" s="28"/>
      <c r="V731" s="29"/>
      <c r="W731" s="29"/>
      <c r="AB731" s="28"/>
      <c r="CQ731" s="28"/>
      <c r="CR731" s="28"/>
      <c r="CS731" s="28"/>
    </row>
    <row r="732" spans="5:97" ht="12.75">
      <c r="E732" s="26"/>
      <c r="F732" s="26"/>
      <c r="H732" s="27"/>
      <c r="I732" s="27"/>
      <c r="S732" s="28"/>
      <c r="T732" s="28"/>
      <c r="V732" s="29"/>
      <c r="W732" s="29"/>
      <c r="AB732" s="28"/>
      <c r="CQ732" s="28"/>
      <c r="CR732" s="28"/>
      <c r="CS732" s="28"/>
    </row>
    <row r="733" spans="5:97" ht="12.75">
      <c r="E733" s="26"/>
      <c r="F733" s="26"/>
      <c r="H733" s="27"/>
      <c r="I733" s="27"/>
      <c r="S733" s="28"/>
      <c r="T733" s="28"/>
      <c r="V733" s="29"/>
      <c r="W733" s="29"/>
      <c r="AB733" s="28"/>
      <c r="CQ733" s="28"/>
      <c r="CR733" s="28"/>
      <c r="CS733" s="28"/>
    </row>
    <row r="734" spans="5:97" ht="12.75">
      <c r="E734" s="26"/>
      <c r="F734" s="26"/>
      <c r="H734" s="27"/>
      <c r="I734" s="27"/>
      <c r="S734" s="28"/>
      <c r="T734" s="28"/>
      <c r="V734" s="29"/>
      <c r="W734" s="29"/>
      <c r="AB734" s="28"/>
      <c r="CQ734" s="28"/>
      <c r="CR734" s="28"/>
      <c r="CS734" s="28"/>
    </row>
    <row r="735" spans="5:97" ht="12.75">
      <c r="E735" s="26"/>
      <c r="F735" s="26"/>
      <c r="H735" s="27"/>
      <c r="I735" s="27"/>
      <c r="S735" s="28"/>
      <c r="T735" s="28"/>
      <c r="V735" s="29"/>
      <c r="W735" s="29"/>
      <c r="AB735" s="28"/>
      <c r="CQ735" s="28"/>
      <c r="CR735" s="28"/>
      <c r="CS735" s="28"/>
    </row>
    <row r="736" spans="5:97" ht="12.75">
      <c r="E736" s="26"/>
      <c r="F736" s="26"/>
      <c r="H736" s="27"/>
      <c r="I736" s="27"/>
      <c r="S736" s="28"/>
      <c r="T736" s="28"/>
      <c r="V736" s="29"/>
      <c r="W736" s="29"/>
      <c r="AB736" s="28"/>
      <c r="CQ736" s="28"/>
      <c r="CR736" s="28"/>
      <c r="CS736" s="28"/>
    </row>
    <row r="737" spans="5:97" ht="12.75">
      <c r="E737" s="26"/>
      <c r="F737" s="26"/>
      <c r="H737" s="27"/>
      <c r="I737" s="27"/>
      <c r="S737" s="28"/>
      <c r="T737" s="28"/>
      <c r="V737" s="29"/>
      <c r="W737" s="29"/>
      <c r="AB737" s="28"/>
      <c r="CQ737" s="28"/>
      <c r="CR737" s="28"/>
      <c r="CS737" s="28"/>
    </row>
    <row r="738" spans="5:97" ht="12.75">
      <c r="E738" s="26"/>
      <c r="F738" s="26"/>
      <c r="H738" s="27"/>
      <c r="I738" s="27"/>
      <c r="S738" s="28"/>
      <c r="T738" s="28"/>
      <c r="V738" s="29"/>
      <c r="W738" s="29"/>
      <c r="AB738" s="28"/>
      <c r="CQ738" s="28"/>
      <c r="CR738" s="28"/>
      <c r="CS738" s="28"/>
    </row>
    <row r="739" spans="5:97" ht="12.75">
      <c r="E739" s="26"/>
      <c r="F739" s="26"/>
      <c r="H739" s="27"/>
      <c r="I739" s="27"/>
      <c r="S739" s="28"/>
      <c r="T739" s="28"/>
      <c r="V739" s="29"/>
      <c r="W739" s="29"/>
      <c r="AB739" s="28"/>
      <c r="CQ739" s="28"/>
      <c r="CR739" s="28"/>
      <c r="CS739" s="28"/>
    </row>
    <row r="740" spans="5:97" ht="12.75">
      <c r="E740" s="26"/>
      <c r="F740" s="26"/>
      <c r="H740" s="27"/>
      <c r="I740" s="27"/>
      <c r="S740" s="28"/>
      <c r="T740" s="28"/>
      <c r="V740" s="29"/>
      <c r="W740" s="29"/>
      <c r="AB740" s="28"/>
      <c r="CQ740" s="28"/>
      <c r="CR740" s="28"/>
      <c r="CS740" s="28"/>
    </row>
    <row r="741" spans="5:97" ht="12.75">
      <c r="E741" s="26"/>
      <c r="F741" s="26"/>
      <c r="H741" s="27"/>
      <c r="I741" s="27"/>
      <c r="S741" s="28"/>
      <c r="T741" s="28"/>
      <c r="V741" s="29"/>
      <c r="W741" s="29"/>
      <c r="AB741" s="28"/>
      <c r="CQ741" s="28"/>
      <c r="CR741" s="28"/>
      <c r="CS741" s="28"/>
    </row>
    <row r="742" spans="5:97" ht="12.75">
      <c r="E742" s="26"/>
      <c r="F742" s="26"/>
      <c r="H742" s="27"/>
      <c r="I742" s="27"/>
      <c r="S742" s="28"/>
      <c r="T742" s="28"/>
      <c r="V742" s="29"/>
      <c r="W742" s="29"/>
      <c r="AB742" s="28"/>
      <c r="CQ742" s="28"/>
      <c r="CR742" s="28"/>
      <c r="CS742" s="28"/>
    </row>
    <row r="743" spans="5:97" ht="12.75">
      <c r="E743" s="26"/>
      <c r="F743" s="26"/>
      <c r="H743" s="27"/>
      <c r="I743" s="27"/>
      <c r="S743" s="28"/>
      <c r="T743" s="28"/>
      <c r="V743" s="29"/>
      <c r="W743" s="29"/>
      <c r="AB743" s="28"/>
      <c r="CQ743" s="28"/>
      <c r="CR743" s="28"/>
      <c r="CS743" s="28"/>
    </row>
    <row r="744" spans="5:97" ht="12.75">
      <c r="E744" s="26"/>
      <c r="F744" s="26"/>
      <c r="H744" s="27"/>
      <c r="I744" s="27"/>
      <c r="S744" s="28"/>
      <c r="T744" s="28"/>
      <c r="V744" s="29"/>
      <c r="W744" s="29"/>
      <c r="AB744" s="28"/>
      <c r="CQ744" s="28"/>
      <c r="CR744" s="28"/>
      <c r="CS744" s="28"/>
    </row>
    <row r="745" spans="5:97" ht="12.75">
      <c r="E745" s="26"/>
      <c r="F745" s="26"/>
      <c r="H745" s="27"/>
      <c r="I745" s="27"/>
      <c r="S745" s="28"/>
      <c r="T745" s="28"/>
      <c r="V745" s="29"/>
      <c r="W745" s="29"/>
      <c r="AB745" s="28"/>
      <c r="CQ745" s="28"/>
      <c r="CR745" s="28"/>
      <c r="CS745" s="28"/>
    </row>
    <row r="746" spans="5:97" ht="12.75">
      <c r="E746" s="26"/>
      <c r="F746" s="26"/>
      <c r="H746" s="27"/>
      <c r="I746" s="27"/>
      <c r="S746" s="28"/>
      <c r="T746" s="28"/>
      <c r="V746" s="29"/>
      <c r="W746" s="29"/>
      <c r="AB746" s="28"/>
      <c r="CQ746" s="28"/>
      <c r="CR746" s="28"/>
      <c r="CS746" s="28"/>
    </row>
    <row r="747" spans="5:97" ht="12.75">
      <c r="E747" s="26"/>
      <c r="F747" s="26"/>
      <c r="H747" s="27"/>
      <c r="I747" s="27"/>
      <c r="S747" s="28"/>
      <c r="T747" s="28"/>
      <c r="V747" s="29"/>
      <c r="W747" s="29"/>
      <c r="AB747" s="28"/>
      <c r="CQ747" s="28"/>
      <c r="CR747" s="28"/>
      <c r="CS747" s="28"/>
    </row>
    <row r="748" spans="5:97" ht="12.75">
      <c r="E748" s="26"/>
      <c r="F748" s="26"/>
      <c r="H748" s="27"/>
      <c r="I748" s="27"/>
      <c r="S748" s="28"/>
      <c r="T748" s="28"/>
      <c r="V748" s="29"/>
      <c r="W748" s="29"/>
      <c r="AB748" s="28"/>
      <c r="CQ748" s="28"/>
      <c r="CR748" s="28"/>
      <c r="CS748" s="28"/>
    </row>
    <row r="749" spans="5:97" ht="12.75">
      <c r="E749" s="26"/>
      <c r="F749" s="26"/>
      <c r="H749" s="27"/>
      <c r="I749" s="27"/>
      <c r="S749" s="28"/>
      <c r="T749" s="28"/>
      <c r="V749" s="29"/>
      <c r="W749" s="29"/>
      <c r="AB749" s="28"/>
      <c r="CQ749" s="28"/>
      <c r="CR749" s="28"/>
      <c r="CS749" s="28"/>
    </row>
    <row r="750" spans="5:97" ht="12.75">
      <c r="E750" s="26"/>
      <c r="F750" s="26"/>
      <c r="H750" s="27"/>
      <c r="I750" s="27"/>
      <c r="S750" s="28"/>
      <c r="T750" s="28"/>
      <c r="V750" s="29"/>
      <c r="W750" s="29"/>
      <c r="AB750" s="28"/>
      <c r="CQ750" s="28"/>
      <c r="CR750" s="28"/>
      <c r="CS750" s="28"/>
    </row>
    <row r="751" spans="5:97" ht="12.75">
      <c r="E751" s="26"/>
      <c r="F751" s="26"/>
      <c r="H751" s="27"/>
      <c r="I751" s="27"/>
      <c r="S751" s="28"/>
      <c r="T751" s="28"/>
      <c r="V751" s="29"/>
      <c r="W751" s="29"/>
      <c r="AB751" s="28"/>
      <c r="CQ751" s="28"/>
      <c r="CR751" s="28"/>
      <c r="CS751" s="28"/>
    </row>
    <row r="752" spans="5:97" ht="12.75">
      <c r="E752" s="26"/>
      <c r="F752" s="26"/>
      <c r="H752" s="27"/>
      <c r="I752" s="27"/>
      <c r="S752" s="28"/>
      <c r="T752" s="28"/>
      <c r="V752" s="29"/>
      <c r="W752" s="29"/>
      <c r="AB752" s="28"/>
      <c r="CQ752" s="28"/>
      <c r="CR752" s="28"/>
      <c r="CS752" s="28"/>
    </row>
    <row r="753" spans="5:97" ht="12.75">
      <c r="E753" s="26"/>
      <c r="F753" s="26"/>
      <c r="H753" s="27"/>
      <c r="I753" s="27"/>
      <c r="S753" s="28"/>
      <c r="T753" s="28"/>
      <c r="V753" s="29"/>
      <c r="W753" s="29"/>
      <c r="AB753" s="28"/>
      <c r="CQ753" s="28"/>
      <c r="CR753" s="28"/>
      <c r="CS753" s="28"/>
    </row>
    <row r="754" spans="5:97" ht="12.75">
      <c r="E754" s="26"/>
      <c r="F754" s="26"/>
      <c r="H754" s="27"/>
      <c r="I754" s="27"/>
      <c r="S754" s="28"/>
      <c r="T754" s="28"/>
      <c r="V754" s="29"/>
      <c r="W754" s="29"/>
      <c r="AB754" s="28"/>
      <c r="CQ754" s="28"/>
      <c r="CR754" s="28"/>
      <c r="CS754" s="28"/>
    </row>
    <row r="755" spans="5:97" ht="12.75">
      <c r="E755" s="26"/>
      <c r="F755" s="26"/>
      <c r="H755" s="27"/>
      <c r="I755" s="27"/>
      <c r="S755" s="28"/>
      <c r="T755" s="28"/>
      <c r="V755" s="29"/>
      <c r="W755" s="29"/>
      <c r="AB755" s="28"/>
      <c r="CQ755" s="28"/>
      <c r="CR755" s="28"/>
      <c r="CS755" s="28"/>
    </row>
    <row r="756" spans="5:97" ht="12.75">
      <c r="E756" s="26"/>
      <c r="F756" s="26"/>
      <c r="H756" s="27"/>
      <c r="I756" s="27"/>
      <c r="S756" s="28"/>
      <c r="T756" s="28"/>
      <c r="V756" s="29"/>
      <c r="W756" s="29"/>
      <c r="AB756" s="28"/>
      <c r="CQ756" s="28"/>
      <c r="CR756" s="28"/>
      <c r="CS756" s="28"/>
    </row>
    <row r="757" spans="5:97" ht="12.75">
      <c r="E757" s="26"/>
      <c r="F757" s="26"/>
      <c r="H757" s="27"/>
      <c r="I757" s="27"/>
      <c r="S757" s="28"/>
      <c r="T757" s="28"/>
      <c r="V757" s="29"/>
      <c r="W757" s="29"/>
      <c r="AB757" s="28"/>
      <c r="CQ757" s="28"/>
      <c r="CR757" s="28"/>
      <c r="CS757" s="28"/>
    </row>
    <row r="758" spans="5:97" ht="12.75">
      <c r="E758" s="26"/>
      <c r="F758" s="26"/>
      <c r="H758" s="27"/>
      <c r="I758" s="27"/>
      <c r="S758" s="28"/>
      <c r="T758" s="28"/>
      <c r="V758" s="29"/>
      <c r="W758" s="29"/>
      <c r="AB758" s="28"/>
      <c r="CQ758" s="28"/>
      <c r="CR758" s="28"/>
      <c r="CS758" s="28"/>
    </row>
    <row r="759" spans="5:97" ht="12.75">
      <c r="E759" s="26"/>
      <c r="F759" s="26"/>
      <c r="H759" s="27"/>
      <c r="I759" s="27"/>
      <c r="S759" s="28"/>
      <c r="T759" s="28"/>
      <c r="V759" s="29"/>
      <c r="W759" s="29"/>
      <c r="AB759" s="28"/>
      <c r="CQ759" s="28"/>
      <c r="CR759" s="28"/>
      <c r="CS759" s="28"/>
    </row>
    <row r="760" spans="5:97" ht="12.75">
      <c r="E760" s="26"/>
      <c r="F760" s="26"/>
      <c r="H760" s="27"/>
      <c r="I760" s="27"/>
      <c r="S760" s="28"/>
      <c r="T760" s="28"/>
      <c r="V760" s="29"/>
      <c r="W760" s="29"/>
      <c r="AB760" s="28"/>
      <c r="CQ760" s="28"/>
      <c r="CR760" s="28"/>
      <c r="CS760" s="28"/>
    </row>
    <row r="761" spans="5:97" ht="12.75">
      <c r="E761" s="26"/>
      <c r="F761" s="26"/>
      <c r="H761" s="27"/>
      <c r="I761" s="27"/>
      <c r="S761" s="28"/>
      <c r="T761" s="28"/>
      <c r="V761" s="29"/>
      <c r="W761" s="29"/>
      <c r="AB761" s="28"/>
      <c r="CQ761" s="28"/>
      <c r="CR761" s="28"/>
      <c r="CS761" s="28"/>
    </row>
    <row r="762" spans="5:97" ht="12.75">
      <c r="E762" s="26"/>
      <c r="F762" s="26"/>
      <c r="H762" s="27"/>
      <c r="I762" s="27"/>
      <c r="S762" s="28"/>
      <c r="T762" s="28"/>
      <c r="V762" s="29"/>
      <c r="W762" s="29"/>
      <c r="AB762" s="28"/>
      <c r="CQ762" s="28"/>
      <c r="CR762" s="28"/>
      <c r="CS762" s="28"/>
    </row>
    <row r="763" spans="5:97" ht="12.75">
      <c r="E763" s="26"/>
      <c r="F763" s="26"/>
      <c r="H763" s="27"/>
      <c r="I763" s="27"/>
      <c r="S763" s="28"/>
      <c r="T763" s="28"/>
      <c r="V763" s="29"/>
      <c r="W763" s="29"/>
      <c r="AB763" s="28"/>
      <c r="CQ763" s="28"/>
      <c r="CR763" s="28"/>
      <c r="CS763" s="28"/>
    </row>
    <row r="764" spans="5:97" ht="12.75">
      <c r="E764" s="26"/>
      <c r="F764" s="26"/>
      <c r="H764" s="27"/>
      <c r="I764" s="27"/>
      <c r="S764" s="28"/>
      <c r="T764" s="28"/>
      <c r="V764" s="29"/>
      <c r="W764" s="29"/>
      <c r="AB764" s="28"/>
      <c r="CQ764" s="28"/>
      <c r="CR764" s="28"/>
      <c r="CS764" s="28"/>
    </row>
    <row r="765" spans="5:97" ht="12.75">
      <c r="E765" s="26"/>
      <c r="F765" s="26"/>
      <c r="H765" s="27"/>
      <c r="I765" s="27"/>
      <c r="S765" s="28"/>
      <c r="T765" s="28"/>
      <c r="V765" s="29"/>
      <c r="W765" s="29"/>
      <c r="AB765" s="28"/>
      <c r="CQ765" s="28"/>
      <c r="CR765" s="28"/>
      <c r="CS765" s="28"/>
    </row>
    <row r="766" spans="5:97" ht="12.75">
      <c r="E766" s="26"/>
      <c r="F766" s="26"/>
      <c r="H766" s="27"/>
      <c r="I766" s="27"/>
      <c r="S766" s="28"/>
      <c r="T766" s="28"/>
      <c r="V766" s="29"/>
      <c r="W766" s="29"/>
      <c r="AB766" s="28"/>
      <c r="CQ766" s="28"/>
      <c r="CR766" s="28"/>
      <c r="CS766" s="28"/>
    </row>
    <row r="767" spans="5:97" ht="12.75">
      <c r="E767" s="26"/>
      <c r="F767" s="26"/>
      <c r="H767" s="27"/>
      <c r="I767" s="27"/>
      <c r="S767" s="28"/>
      <c r="T767" s="28"/>
      <c r="V767" s="29"/>
      <c r="W767" s="29"/>
      <c r="AB767" s="28"/>
      <c r="CQ767" s="28"/>
      <c r="CR767" s="28"/>
      <c r="CS767" s="28"/>
    </row>
    <row r="768" spans="5:97" ht="12.75">
      <c r="E768" s="26"/>
      <c r="F768" s="26"/>
      <c r="H768" s="27"/>
      <c r="I768" s="27"/>
      <c r="S768" s="28"/>
      <c r="T768" s="28"/>
      <c r="V768" s="29"/>
      <c r="W768" s="29"/>
      <c r="AB768" s="28"/>
      <c r="CQ768" s="28"/>
      <c r="CR768" s="28"/>
      <c r="CS768" s="28"/>
    </row>
    <row r="769" spans="5:97" ht="12.75">
      <c r="E769" s="26"/>
      <c r="F769" s="26"/>
      <c r="H769" s="27"/>
      <c r="I769" s="27"/>
      <c r="S769" s="28"/>
      <c r="T769" s="28"/>
      <c r="V769" s="29"/>
      <c r="W769" s="29"/>
      <c r="AB769" s="28"/>
      <c r="CQ769" s="28"/>
      <c r="CR769" s="28"/>
      <c r="CS769" s="28"/>
    </row>
    <row r="770" spans="5:97" ht="12.75">
      <c r="E770" s="26"/>
      <c r="F770" s="26"/>
      <c r="H770" s="27"/>
      <c r="I770" s="27"/>
      <c r="S770" s="28"/>
      <c r="T770" s="28"/>
      <c r="V770" s="29"/>
      <c r="W770" s="29"/>
      <c r="AB770" s="28"/>
      <c r="CQ770" s="28"/>
      <c r="CR770" s="28"/>
      <c r="CS770" s="28"/>
    </row>
    <row r="771" spans="5:97" ht="12.75">
      <c r="E771" s="26"/>
      <c r="F771" s="26"/>
      <c r="H771" s="27"/>
      <c r="I771" s="27"/>
      <c r="S771" s="28"/>
      <c r="T771" s="28"/>
      <c r="V771" s="29"/>
      <c r="W771" s="29"/>
      <c r="AB771" s="28"/>
      <c r="CQ771" s="28"/>
      <c r="CR771" s="28"/>
      <c r="CS771" s="28"/>
    </row>
    <row r="772" spans="5:97" ht="12.75">
      <c r="E772" s="26"/>
      <c r="F772" s="26"/>
      <c r="H772" s="27"/>
      <c r="I772" s="27"/>
      <c r="S772" s="28"/>
      <c r="T772" s="28"/>
      <c r="V772" s="29"/>
      <c r="W772" s="29"/>
      <c r="AB772" s="28"/>
      <c r="CQ772" s="28"/>
      <c r="CR772" s="28"/>
      <c r="CS772" s="28"/>
    </row>
    <row r="773" spans="5:97" ht="12.75">
      <c r="E773" s="26"/>
      <c r="F773" s="26"/>
      <c r="H773" s="27"/>
      <c r="I773" s="27"/>
      <c r="S773" s="28"/>
      <c r="T773" s="28"/>
      <c r="V773" s="29"/>
      <c r="W773" s="29"/>
      <c r="AB773" s="28"/>
      <c r="CQ773" s="28"/>
      <c r="CR773" s="28"/>
      <c r="CS773" s="28"/>
    </row>
    <row r="774" spans="5:96" ht="12.75">
      <c r="E774" s="26"/>
      <c r="F774" s="26"/>
      <c r="H774" s="27"/>
      <c r="I774" s="27"/>
      <c r="S774" s="28"/>
      <c r="T774" s="28"/>
      <c r="V774" s="29"/>
      <c r="W774" s="29"/>
      <c r="AB774" s="28"/>
      <c r="CQ774" s="28"/>
      <c r="CR774" s="28"/>
    </row>
    <row r="775" spans="5:97" ht="12.75">
      <c r="E775" s="26"/>
      <c r="F775" s="26"/>
      <c r="H775" s="27"/>
      <c r="I775" s="27"/>
      <c r="S775" s="28"/>
      <c r="T775" s="28"/>
      <c r="V775" s="29"/>
      <c r="W775" s="29"/>
      <c r="AB775" s="28"/>
      <c r="CQ775" s="28"/>
      <c r="CR775" s="28"/>
      <c r="CS775" s="28"/>
    </row>
    <row r="776" spans="5:97" ht="12.75">
      <c r="E776" s="26"/>
      <c r="F776" s="26"/>
      <c r="H776" s="27"/>
      <c r="I776" s="27"/>
      <c r="S776" s="28"/>
      <c r="T776" s="28"/>
      <c r="V776" s="29"/>
      <c r="W776" s="29"/>
      <c r="AB776" s="28"/>
      <c r="CQ776" s="28"/>
      <c r="CR776" s="28"/>
      <c r="CS776" s="28"/>
    </row>
    <row r="777" spans="7:97" ht="12.75">
      <c r="G777" s="29"/>
      <c r="J777" s="29"/>
      <c r="K777" s="29"/>
      <c r="L777" s="29"/>
      <c r="O777" s="29"/>
      <c r="P777" s="29"/>
      <c r="Q777" s="29"/>
      <c r="R777" s="29"/>
      <c r="U777" s="29"/>
      <c r="V777" s="29"/>
      <c r="W777" s="29"/>
      <c r="AC777" s="29"/>
      <c r="AD777" s="29"/>
      <c r="AE777" s="29"/>
      <c r="AG777" s="29"/>
      <c r="AH777" s="29"/>
      <c r="AI777" s="29"/>
      <c r="AJ777" s="29"/>
      <c r="AK777" s="29"/>
      <c r="CP777" s="29"/>
      <c r="CS777" s="28"/>
    </row>
    <row r="778" spans="5:97" ht="12.75">
      <c r="E778" s="26"/>
      <c r="F778" s="26"/>
      <c r="H778" s="27"/>
      <c r="I778" s="27"/>
      <c r="S778" s="28"/>
      <c r="T778" s="28"/>
      <c r="V778" s="29"/>
      <c r="W778" s="29"/>
      <c r="AB778" s="28"/>
      <c r="CQ778" s="28"/>
      <c r="CR778" s="28"/>
      <c r="CS778" s="28"/>
    </row>
    <row r="779" spans="5:97" ht="12.75">
      <c r="E779" s="26"/>
      <c r="F779" s="26"/>
      <c r="H779" s="27"/>
      <c r="I779" s="27"/>
      <c r="S779" s="28"/>
      <c r="T779" s="28"/>
      <c r="V779" s="29"/>
      <c r="W779" s="29"/>
      <c r="AB779" s="28"/>
      <c r="CQ779" s="28"/>
      <c r="CR779" s="28"/>
      <c r="CS779" s="28"/>
    </row>
    <row r="780" spans="5:97" ht="12.75">
      <c r="E780" s="26"/>
      <c r="F780" s="26"/>
      <c r="H780" s="27"/>
      <c r="I780" s="27"/>
      <c r="S780" s="28"/>
      <c r="T780" s="28"/>
      <c r="V780" s="29"/>
      <c r="W780" s="29"/>
      <c r="AB780" s="28"/>
      <c r="CQ780" s="28"/>
      <c r="CR780" s="28"/>
      <c r="CS780" s="28"/>
    </row>
    <row r="781" spans="5:97" ht="12.75">
      <c r="E781" s="26"/>
      <c r="F781" s="26"/>
      <c r="H781" s="27"/>
      <c r="I781" s="27"/>
      <c r="S781" s="28"/>
      <c r="T781" s="28"/>
      <c r="V781" s="29"/>
      <c r="W781" s="29"/>
      <c r="AB781" s="28"/>
      <c r="CQ781" s="28"/>
      <c r="CR781" s="28"/>
      <c r="CS781" s="28"/>
    </row>
    <row r="782" spans="5:97" ht="12.75">
      <c r="E782" s="26"/>
      <c r="F782" s="26"/>
      <c r="H782" s="27"/>
      <c r="I782" s="27"/>
      <c r="S782" s="28"/>
      <c r="T782" s="28"/>
      <c r="V782" s="29"/>
      <c r="W782" s="29"/>
      <c r="AB782" s="28"/>
      <c r="CQ782" s="28"/>
      <c r="CR782" s="28"/>
      <c r="CS782" s="28"/>
    </row>
    <row r="783" spans="5:97" ht="12.75">
      <c r="E783" s="26"/>
      <c r="F783" s="26"/>
      <c r="H783" s="27"/>
      <c r="I783" s="27"/>
      <c r="S783" s="28"/>
      <c r="T783" s="28"/>
      <c r="V783" s="29"/>
      <c r="W783" s="29"/>
      <c r="AB783" s="28"/>
      <c r="CQ783" s="28"/>
      <c r="CR783" s="28"/>
      <c r="CS783" s="28"/>
    </row>
    <row r="784" spans="5:97" ht="12.75">
      <c r="E784" s="26"/>
      <c r="F784" s="26"/>
      <c r="H784" s="27"/>
      <c r="I784" s="27"/>
      <c r="S784" s="28"/>
      <c r="T784" s="28"/>
      <c r="V784" s="29"/>
      <c r="W784" s="29"/>
      <c r="AB784" s="28"/>
      <c r="CQ784" s="28"/>
      <c r="CR784" s="28"/>
      <c r="CS784" s="28"/>
    </row>
    <row r="785" spans="5:97" ht="12.75">
      <c r="E785" s="26"/>
      <c r="F785" s="26"/>
      <c r="H785" s="27"/>
      <c r="I785" s="27"/>
      <c r="S785" s="28"/>
      <c r="T785" s="28"/>
      <c r="V785" s="29"/>
      <c r="W785" s="29"/>
      <c r="AB785" s="28"/>
      <c r="CQ785" s="28"/>
      <c r="CR785" s="28"/>
      <c r="CS785" s="28"/>
    </row>
    <row r="786" spans="5:97" ht="12.75">
      <c r="E786" s="26"/>
      <c r="F786" s="26"/>
      <c r="H786" s="27"/>
      <c r="I786" s="27"/>
      <c r="S786" s="28"/>
      <c r="T786" s="28"/>
      <c r="V786" s="29"/>
      <c r="W786" s="29"/>
      <c r="AB786" s="28"/>
      <c r="CQ786" s="28"/>
      <c r="CR786" s="28"/>
      <c r="CS786" s="28"/>
    </row>
    <row r="787" spans="5:97" ht="12.75">
      <c r="E787" s="26"/>
      <c r="F787" s="26"/>
      <c r="H787" s="27"/>
      <c r="I787" s="27"/>
      <c r="S787" s="28"/>
      <c r="T787" s="28"/>
      <c r="V787" s="29"/>
      <c r="W787" s="29"/>
      <c r="AB787" s="28"/>
      <c r="CQ787" s="28"/>
      <c r="CR787" s="28"/>
      <c r="CS787" s="28"/>
    </row>
    <row r="788" spans="5:97" ht="12.75">
      <c r="E788" s="26"/>
      <c r="F788" s="26"/>
      <c r="H788" s="27"/>
      <c r="I788" s="27"/>
      <c r="S788" s="28"/>
      <c r="T788" s="28"/>
      <c r="V788" s="29"/>
      <c r="W788" s="29"/>
      <c r="AB788" s="28"/>
      <c r="CQ788" s="28"/>
      <c r="CR788" s="28"/>
      <c r="CS788" s="28"/>
    </row>
    <row r="789" spans="5:97" ht="12.75">
      <c r="E789" s="26"/>
      <c r="F789" s="26"/>
      <c r="H789" s="27"/>
      <c r="I789" s="27"/>
      <c r="S789" s="28"/>
      <c r="T789" s="28"/>
      <c r="V789" s="29"/>
      <c r="W789" s="29"/>
      <c r="AB789" s="28"/>
      <c r="CQ789" s="28"/>
      <c r="CR789" s="28"/>
      <c r="CS789" s="28"/>
    </row>
    <row r="790" spans="5:98" ht="12.75">
      <c r="E790" s="26"/>
      <c r="F790" s="26"/>
      <c r="H790" s="27"/>
      <c r="I790" s="27"/>
      <c r="S790" s="28"/>
      <c r="T790" s="28"/>
      <c r="V790" s="29"/>
      <c r="W790" s="29"/>
      <c r="AB790" s="28"/>
      <c r="CQ790" s="28"/>
      <c r="CR790" s="28"/>
      <c r="CS790" s="28"/>
      <c r="CT790" s="28"/>
    </row>
    <row r="791" spans="5:98" ht="12.75">
      <c r="E791" s="26"/>
      <c r="F791" s="26"/>
      <c r="H791" s="27"/>
      <c r="I791" s="27"/>
      <c r="S791" s="28"/>
      <c r="T791" s="28"/>
      <c r="V791" s="29"/>
      <c r="W791" s="29"/>
      <c r="AB791" s="28"/>
      <c r="CQ791" s="28"/>
      <c r="CR791" s="28"/>
      <c r="CS791" s="28"/>
      <c r="CT791" s="28"/>
    </row>
    <row r="792" spans="5:98" ht="12.75">
      <c r="E792" s="26"/>
      <c r="F792" s="26"/>
      <c r="H792" s="27"/>
      <c r="I792" s="27"/>
      <c r="S792" s="28"/>
      <c r="T792" s="28"/>
      <c r="V792" s="29"/>
      <c r="W792" s="29"/>
      <c r="AB792" s="28"/>
      <c r="CQ792" s="28"/>
      <c r="CR792" s="28"/>
      <c r="CS792" s="28"/>
      <c r="CT792" s="28"/>
    </row>
    <row r="793" spans="5:98" ht="12.75">
      <c r="E793" s="26"/>
      <c r="F793" s="26"/>
      <c r="G793" s="28"/>
      <c r="H793" s="27"/>
      <c r="I793" s="27"/>
      <c r="J793" s="28"/>
      <c r="K793" s="28"/>
      <c r="L793" s="28"/>
      <c r="O793" s="28"/>
      <c r="P793" s="28"/>
      <c r="Q793" s="28"/>
      <c r="R793" s="28"/>
      <c r="S793" s="28"/>
      <c r="T793" s="28"/>
      <c r="U793" s="28"/>
      <c r="V793" s="28"/>
      <c r="W793" s="28"/>
      <c r="AB793" s="28"/>
      <c r="AC793" s="28"/>
      <c r="AD793" s="28"/>
      <c r="AE793" s="28"/>
      <c r="AG793" s="28"/>
      <c r="AH793" s="28"/>
      <c r="AI793" s="28"/>
      <c r="AJ793" s="28"/>
      <c r="AK793" s="28"/>
      <c r="CP793" s="28"/>
      <c r="CQ793" s="28"/>
      <c r="CR793" s="28"/>
      <c r="CS793" s="28"/>
      <c r="CT793" s="28"/>
    </row>
    <row r="794" spans="5:98" ht="12.75">
      <c r="E794" s="26"/>
      <c r="F794" s="26"/>
      <c r="H794" s="27"/>
      <c r="I794" s="27"/>
      <c r="S794" s="28"/>
      <c r="T794" s="28"/>
      <c r="V794" s="29"/>
      <c r="W794" s="29"/>
      <c r="AB794" s="28"/>
      <c r="CQ794" s="28"/>
      <c r="CR794" s="28"/>
      <c r="CS794" s="28"/>
      <c r="CT794" s="28"/>
    </row>
    <row r="795" spans="5:98" ht="12.75">
      <c r="E795" s="26"/>
      <c r="F795" s="26"/>
      <c r="H795" s="27"/>
      <c r="I795" s="27"/>
      <c r="S795" s="28"/>
      <c r="T795" s="28"/>
      <c r="V795" s="29"/>
      <c r="W795" s="29"/>
      <c r="AB795" s="28"/>
      <c r="CQ795" s="28"/>
      <c r="CR795" s="28"/>
      <c r="CS795" s="28"/>
      <c r="CT795" s="28"/>
    </row>
    <row r="796" spans="5:98" ht="12.75">
      <c r="E796" s="26"/>
      <c r="F796" s="26"/>
      <c r="H796" s="27"/>
      <c r="I796" s="27"/>
      <c r="S796" s="28"/>
      <c r="T796" s="28"/>
      <c r="V796" s="29"/>
      <c r="W796" s="29"/>
      <c r="AB796" s="28"/>
      <c r="CQ796" s="28"/>
      <c r="CR796" s="28"/>
      <c r="CS796" s="28"/>
      <c r="CT796" s="28"/>
    </row>
    <row r="797" spans="5:98" ht="12.75">
      <c r="E797" s="26"/>
      <c r="F797" s="26"/>
      <c r="H797" s="27"/>
      <c r="I797" s="27"/>
      <c r="S797" s="28"/>
      <c r="T797" s="28"/>
      <c r="V797" s="29"/>
      <c r="W797" s="29"/>
      <c r="AB797" s="28"/>
      <c r="CQ797" s="28"/>
      <c r="CR797" s="28"/>
      <c r="CS797" s="28"/>
      <c r="CT797" s="28"/>
    </row>
    <row r="798" spans="5:98" ht="12.75">
      <c r="E798" s="26"/>
      <c r="F798" s="26"/>
      <c r="H798" s="27"/>
      <c r="I798" s="27"/>
      <c r="S798" s="28"/>
      <c r="T798" s="28"/>
      <c r="V798" s="29"/>
      <c r="W798" s="29"/>
      <c r="AB798" s="28"/>
      <c r="CQ798" s="28"/>
      <c r="CR798" s="28"/>
      <c r="CS798" s="28"/>
      <c r="CT798" s="28"/>
    </row>
    <row r="799" spans="5:98" ht="12.75">
      <c r="E799" s="26"/>
      <c r="F799" s="26"/>
      <c r="H799" s="27"/>
      <c r="I799" s="27"/>
      <c r="S799" s="28"/>
      <c r="T799" s="28"/>
      <c r="V799" s="29"/>
      <c r="W799" s="29"/>
      <c r="AB799" s="28"/>
      <c r="CQ799" s="28"/>
      <c r="CR799" s="28"/>
      <c r="CS799" s="28"/>
      <c r="CT799" s="28"/>
    </row>
    <row r="800" spans="5:98" ht="12.75">
      <c r="E800" s="26"/>
      <c r="F800" s="26"/>
      <c r="H800" s="27"/>
      <c r="I800" s="27"/>
      <c r="S800" s="28"/>
      <c r="T800" s="28"/>
      <c r="V800" s="29"/>
      <c r="W800" s="29"/>
      <c r="AB800" s="28"/>
      <c r="CQ800" s="28"/>
      <c r="CR800" s="28"/>
      <c r="CS800" s="28"/>
      <c r="CT800" s="28"/>
    </row>
    <row r="801" spans="5:98" ht="12.75">
      <c r="E801" s="26"/>
      <c r="F801" s="26"/>
      <c r="H801" s="27"/>
      <c r="I801" s="27"/>
      <c r="S801" s="28"/>
      <c r="T801" s="28"/>
      <c r="V801" s="29"/>
      <c r="W801" s="29"/>
      <c r="AB801" s="28"/>
      <c r="CQ801" s="28"/>
      <c r="CR801" s="28"/>
      <c r="CS801" s="28"/>
      <c r="CT801" s="28"/>
    </row>
    <row r="802" spans="5:98" ht="12.75">
      <c r="E802" s="26"/>
      <c r="F802" s="26"/>
      <c r="H802" s="27"/>
      <c r="I802" s="27"/>
      <c r="S802" s="28"/>
      <c r="T802" s="28"/>
      <c r="V802" s="29"/>
      <c r="W802" s="29"/>
      <c r="AB802" s="28"/>
      <c r="CQ802" s="28"/>
      <c r="CR802" s="28"/>
      <c r="CS802" s="28"/>
      <c r="CT802" s="28"/>
    </row>
    <row r="803" spans="5:98" ht="12.75">
      <c r="E803" s="26"/>
      <c r="F803" s="26"/>
      <c r="H803" s="27"/>
      <c r="I803" s="27"/>
      <c r="S803" s="28"/>
      <c r="T803" s="28"/>
      <c r="V803" s="29"/>
      <c r="W803" s="29"/>
      <c r="AB803" s="28"/>
      <c r="CQ803" s="28"/>
      <c r="CR803" s="28"/>
      <c r="CS803" s="28"/>
      <c r="CT803" s="28"/>
    </row>
    <row r="804" spans="5:98" ht="12.75">
      <c r="E804" s="26"/>
      <c r="F804" s="26"/>
      <c r="H804" s="27"/>
      <c r="I804" s="27"/>
      <c r="S804" s="28"/>
      <c r="T804" s="28"/>
      <c r="V804" s="29"/>
      <c r="W804" s="29"/>
      <c r="AB804" s="28"/>
      <c r="CQ804" s="28"/>
      <c r="CR804" s="28"/>
      <c r="CS804" s="28"/>
      <c r="CT804" s="28"/>
    </row>
    <row r="805" spans="5:98" ht="12.75">
      <c r="E805" s="26"/>
      <c r="F805" s="26"/>
      <c r="H805" s="27"/>
      <c r="I805" s="27"/>
      <c r="S805" s="28"/>
      <c r="T805" s="28"/>
      <c r="V805" s="29"/>
      <c r="W805" s="29"/>
      <c r="AB805" s="28"/>
      <c r="CQ805" s="28"/>
      <c r="CR805" s="28"/>
      <c r="CS805" s="28"/>
      <c r="CT805" s="28"/>
    </row>
    <row r="806" spans="5:98" ht="12.75">
      <c r="E806" s="26"/>
      <c r="F806" s="26"/>
      <c r="H806" s="27"/>
      <c r="I806" s="27"/>
      <c r="S806" s="28"/>
      <c r="T806" s="28"/>
      <c r="V806" s="29"/>
      <c r="W806" s="29"/>
      <c r="AB806" s="28"/>
      <c r="CQ806" s="28"/>
      <c r="CR806" s="28"/>
      <c r="CS806" s="28"/>
      <c r="CT806" s="28"/>
    </row>
    <row r="807" spans="5:98" ht="12.75">
      <c r="E807" s="26"/>
      <c r="F807" s="26"/>
      <c r="H807" s="27"/>
      <c r="I807" s="27"/>
      <c r="S807" s="28"/>
      <c r="T807" s="28"/>
      <c r="V807" s="29"/>
      <c r="W807" s="29"/>
      <c r="AB807" s="28"/>
      <c r="CQ807" s="28"/>
      <c r="CR807" s="28"/>
      <c r="CS807" s="28"/>
      <c r="CT807" s="28"/>
    </row>
    <row r="808" spans="5:98" ht="12.75">
      <c r="E808" s="26"/>
      <c r="F808" s="26"/>
      <c r="H808" s="27"/>
      <c r="I808" s="27"/>
      <c r="S808" s="28"/>
      <c r="T808" s="28"/>
      <c r="V808" s="29"/>
      <c r="W808" s="29"/>
      <c r="AB808" s="28"/>
      <c r="CQ808" s="28"/>
      <c r="CR808" s="28"/>
      <c r="CS808" s="28"/>
      <c r="CT808" s="28"/>
    </row>
    <row r="809" spans="5:98" ht="12.75">
      <c r="E809" s="26"/>
      <c r="F809" s="26"/>
      <c r="H809" s="27"/>
      <c r="I809" s="27"/>
      <c r="S809" s="28"/>
      <c r="T809" s="28"/>
      <c r="V809" s="29"/>
      <c r="W809" s="29"/>
      <c r="AB809" s="28"/>
      <c r="CQ809" s="28"/>
      <c r="CR809" s="28"/>
      <c r="CS809" s="28"/>
      <c r="CT809" s="28"/>
    </row>
    <row r="810" spans="5:98" ht="12.75">
      <c r="E810" s="26"/>
      <c r="F810" s="26"/>
      <c r="H810" s="27"/>
      <c r="I810" s="27"/>
      <c r="S810" s="28"/>
      <c r="T810" s="28"/>
      <c r="V810" s="29"/>
      <c r="W810" s="29"/>
      <c r="AB810" s="28"/>
      <c r="CQ810" s="28"/>
      <c r="CR810" s="28"/>
      <c r="CS810" s="28"/>
      <c r="CT810" s="28"/>
    </row>
    <row r="811" spans="5:98" ht="12.75">
      <c r="E811" s="26"/>
      <c r="F811" s="26"/>
      <c r="H811" s="27"/>
      <c r="I811" s="27"/>
      <c r="S811" s="28"/>
      <c r="T811" s="28"/>
      <c r="V811" s="29"/>
      <c r="W811" s="29"/>
      <c r="AB811" s="28"/>
      <c r="CQ811" s="28"/>
      <c r="CR811" s="28"/>
      <c r="CS811" s="28"/>
      <c r="CT811" s="28"/>
    </row>
    <row r="812" spans="5:98" ht="12.75">
      <c r="E812" s="26"/>
      <c r="F812" s="26"/>
      <c r="H812" s="27"/>
      <c r="I812" s="27"/>
      <c r="S812" s="28"/>
      <c r="T812" s="28"/>
      <c r="V812" s="29"/>
      <c r="W812" s="29"/>
      <c r="AB812" s="28"/>
      <c r="CQ812" s="28"/>
      <c r="CR812" s="28"/>
      <c r="CS812" s="28"/>
      <c r="CT812" s="28"/>
    </row>
    <row r="813" spans="5:98" ht="12.75">
      <c r="E813" s="26"/>
      <c r="F813" s="26"/>
      <c r="H813" s="27"/>
      <c r="I813" s="27"/>
      <c r="S813" s="28"/>
      <c r="T813" s="28"/>
      <c r="V813" s="29"/>
      <c r="W813" s="29"/>
      <c r="AB813" s="28"/>
      <c r="CQ813" s="28"/>
      <c r="CR813" s="28"/>
      <c r="CS813" s="28"/>
      <c r="CT813" s="28"/>
    </row>
    <row r="814" spans="5:98" ht="12.75">
      <c r="E814" s="26"/>
      <c r="F814" s="26"/>
      <c r="H814" s="27"/>
      <c r="I814" s="27"/>
      <c r="S814" s="28"/>
      <c r="T814" s="28"/>
      <c r="V814" s="29"/>
      <c r="W814" s="29"/>
      <c r="AB814" s="28"/>
      <c r="CQ814" s="28"/>
      <c r="CR814" s="28"/>
      <c r="CS814" s="28"/>
      <c r="CT814" s="28"/>
    </row>
    <row r="815" spans="5:98" ht="12.75">
      <c r="E815" s="26"/>
      <c r="F815" s="26"/>
      <c r="H815" s="27"/>
      <c r="I815" s="27"/>
      <c r="S815" s="28"/>
      <c r="T815" s="28"/>
      <c r="V815" s="29"/>
      <c r="W815" s="29"/>
      <c r="AB815" s="28"/>
      <c r="CQ815" s="28"/>
      <c r="CR815" s="28"/>
      <c r="CS815" s="28"/>
      <c r="CT815" s="28"/>
    </row>
    <row r="816" spans="5:98" ht="12.75">
      <c r="E816" s="26"/>
      <c r="F816" s="26"/>
      <c r="H816" s="27"/>
      <c r="I816" s="27"/>
      <c r="S816" s="28"/>
      <c r="T816" s="28"/>
      <c r="V816" s="29"/>
      <c r="W816" s="29"/>
      <c r="AB816" s="28"/>
      <c r="CQ816" s="28"/>
      <c r="CR816" s="28"/>
      <c r="CS816" s="28"/>
      <c r="CT816" s="28"/>
    </row>
    <row r="817" spans="5:97" ht="12.75">
      <c r="E817" s="26"/>
      <c r="F817" s="26"/>
      <c r="H817" s="27"/>
      <c r="I817" s="27"/>
      <c r="S817" s="28"/>
      <c r="T817" s="28"/>
      <c r="V817" s="29"/>
      <c r="W817" s="29"/>
      <c r="AB817" s="28"/>
      <c r="CQ817" s="28"/>
      <c r="CR817" s="28"/>
      <c r="CS817" s="28"/>
    </row>
    <row r="818" spans="5:97" ht="12.75">
      <c r="E818" s="26"/>
      <c r="F818" s="26"/>
      <c r="H818" s="27"/>
      <c r="I818" s="27"/>
      <c r="S818" s="28"/>
      <c r="T818" s="28"/>
      <c r="V818" s="29"/>
      <c r="W818" s="29"/>
      <c r="AB818" s="28"/>
      <c r="CQ818" s="28"/>
      <c r="CR818" s="28"/>
      <c r="CS818" s="28"/>
    </row>
    <row r="819" spans="5:97" ht="12.75">
      <c r="E819" s="26"/>
      <c r="F819" s="26"/>
      <c r="H819" s="27"/>
      <c r="I819" s="27"/>
      <c r="S819" s="28"/>
      <c r="T819" s="28"/>
      <c r="V819" s="29"/>
      <c r="W819" s="29"/>
      <c r="AB819" s="28"/>
      <c r="CQ819" s="28"/>
      <c r="CR819" s="28"/>
      <c r="CS819" s="28"/>
    </row>
    <row r="820" spans="5:97" ht="12.75">
      <c r="E820" s="26"/>
      <c r="F820" s="26"/>
      <c r="H820" s="27"/>
      <c r="I820" s="27"/>
      <c r="S820" s="28"/>
      <c r="T820" s="28"/>
      <c r="V820" s="29"/>
      <c r="W820" s="29"/>
      <c r="AB820" s="28"/>
      <c r="CQ820" s="28"/>
      <c r="CR820" s="28"/>
      <c r="CS820" s="28"/>
    </row>
    <row r="821" spans="5:97" ht="12.75">
      <c r="E821" s="26"/>
      <c r="F821" s="26"/>
      <c r="H821" s="27"/>
      <c r="I821" s="27"/>
      <c r="S821" s="28"/>
      <c r="T821" s="28"/>
      <c r="V821" s="29"/>
      <c r="W821" s="29"/>
      <c r="AB821" s="28"/>
      <c r="CQ821" s="28"/>
      <c r="CR821" s="28"/>
      <c r="CS821" s="28"/>
    </row>
    <row r="822" spans="5:96" ht="12.75">
      <c r="E822" s="26"/>
      <c r="F822" s="26"/>
      <c r="H822" s="27"/>
      <c r="I822" s="27"/>
      <c r="S822" s="28"/>
      <c r="T822" s="28"/>
      <c r="V822" s="29"/>
      <c r="W822" s="29"/>
      <c r="AB822" s="28"/>
      <c r="CQ822" s="28"/>
      <c r="CR822" s="28"/>
    </row>
    <row r="823" spans="5:98" ht="12.75">
      <c r="E823" s="26"/>
      <c r="F823" s="26"/>
      <c r="H823" s="27"/>
      <c r="I823" s="27"/>
      <c r="S823" s="28"/>
      <c r="T823" s="28"/>
      <c r="V823" s="29"/>
      <c r="W823" s="29"/>
      <c r="AB823" s="28"/>
      <c r="CQ823" s="28"/>
      <c r="CR823" s="28"/>
      <c r="CS823" s="28"/>
      <c r="CT823" s="28"/>
    </row>
    <row r="824" spans="5:98" ht="12.75">
      <c r="E824" s="26"/>
      <c r="F824" s="26"/>
      <c r="H824" s="27"/>
      <c r="I824" s="27"/>
      <c r="S824" s="28"/>
      <c r="T824" s="28"/>
      <c r="V824" s="29"/>
      <c r="W824" s="29"/>
      <c r="AB824" s="28"/>
      <c r="CR824" s="28"/>
      <c r="CS824" s="28"/>
      <c r="CT824" s="28"/>
    </row>
    <row r="825" spans="5:98" ht="12.75">
      <c r="E825" s="26"/>
      <c r="F825" s="26"/>
      <c r="I825" s="27"/>
      <c r="T825" s="28"/>
      <c r="V825" s="29"/>
      <c r="W825" s="29"/>
      <c r="AB825" s="28"/>
      <c r="CQ825" s="28"/>
      <c r="CR825" s="28"/>
      <c r="CS825" s="28"/>
      <c r="CT825" s="28"/>
    </row>
    <row r="826" spans="5:98" ht="12.75">
      <c r="E826" s="26"/>
      <c r="F826" s="26"/>
      <c r="I826" s="27"/>
      <c r="T826" s="28"/>
      <c r="V826" s="29"/>
      <c r="W826" s="29"/>
      <c r="AB826" s="28"/>
      <c r="CQ826" s="28"/>
      <c r="CR826" s="28"/>
      <c r="CS826" s="28"/>
      <c r="CT826" s="28"/>
    </row>
    <row r="827" spans="5:97" ht="12.75">
      <c r="E827" s="26"/>
      <c r="F827" s="26"/>
      <c r="I827" s="27"/>
      <c r="T827" s="28"/>
      <c r="V827" s="29"/>
      <c r="W827" s="29"/>
      <c r="AB827" s="28"/>
      <c r="CQ827" s="28"/>
      <c r="CR827" s="28"/>
      <c r="CS827" s="28"/>
    </row>
    <row r="828" spans="5:97" ht="12.75">
      <c r="E828" s="26"/>
      <c r="F828" s="26"/>
      <c r="I828" s="27"/>
      <c r="T828" s="28"/>
      <c r="V828" s="29"/>
      <c r="W828" s="29"/>
      <c r="AB828" s="28"/>
      <c r="CQ828" s="28"/>
      <c r="CR828" s="28"/>
      <c r="CS828" s="28"/>
    </row>
    <row r="829" spans="5:97" ht="12.75">
      <c r="E829" s="26"/>
      <c r="F829" s="26"/>
      <c r="I829" s="27"/>
      <c r="T829" s="28"/>
      <c r="V829" s="29"/>
      <c r="W829" s="29"/>
      <c r="AB829" s="28"/>
      <c r="CQ829" s="28"/>
      <c r="CR829" s="28"/>
      <c r="CS829" s="28"/>
    </row>
    <row r="830" spans="5:97" ht="12.75">
      <c r="E830" s="26"/>
      <c r="F830" s="26"/>
      <c r="H830" s="27"/>
      <c r="I830" s="27"/>
      <c r="S830" s="28"/>
      <c r="T830" s="28"/>
      <c r="V830" s="29"/>
      <c r="W830" s="29"/>
      <c r="AB830" s="28"/>
      <c r="CQ830" s="28"/>
      <c r="CR830" s="28"/>
      <c r="CS830" s="28"/>
    </row>
    <row r="831" spans="5:97" ht="12.75">
      <c r="E831" s="26"/>
      <c r="F831" s="26"/>
      <c r="H831" s="27"/>
      <c r="I831" s="27"/>
      <c r="S831" s="28"/>
      <c r="T831" s="28"/>
      <c r="V831" s="29"/>
      <c r="W831" s="29"/>
      <c r="AB831" s="28"/>
      <c r="CQ831" s="28"/>
      <c r="CR831" s="28"/>
      <c r="CS831" s="28"/>
    </row>
    <row r="832" spans="5:97" ht="12.75">
      <c r="E832" s="26"/>
      <c r="F832" s="26"/>
      <c r="H832" s="27"/>
      <c r="I832" s="27"/>
      <c r="S832" s="28"/>
      <c r="T832" s="28"/>
      <c r="V832" s="29"/>
      <c r="W832" s="29"/>
      <c r="AB832" s="28"/>
      <c r="CQ832" s="28"/>
      <c r="CR832" s="28"/>
      <c r="CS832" s="28"/>
    </row>
    <row r="833" spans="5:97" ht="12.75">
      <c r="E833" s="26"/>
      <c r="F833" s="26"/>
      <c r="H833" s="27"/>
      <c r="I833" s="27"/>
      <c r="S833" s="28"/>
      <c r="T833" s="28"/>
      <c r="V833" s="29"/>
      <c r="W833" s="29"/>
      <c r="AB833" s="28"/>
      <c r="CQ833" s="28"/>
      <c r="CR833" s="28"/>
      <c r="CS833" s="28"/>
    </row>
    <row r="834" spans="5:97" ht="12.75">
      <c r="E834" s="26"/>
      <c r="F834" s="26"/>
      <c r="H834" s="27"/>
      <c r="I834" s="27"/>
      <c r="S834" s="28"/>
      <c r="T834" s="28"/>
      <c r="V834" s="29"/>
      <c r="W834" s="29"/>
      <c r="AB834" s="28"/>
      <c r="CQ834" s="28"/>
      <c r="CR834" s="28"/>
      <c r="CS834" s="28"/>
    </row>
    <row r="835" spans="5:97" ht="12.75">
      <c r="E835" s="26"/>
      <c r="F835" s="26"/>
      <c r="H835" s="27"/>
      <c r="I835" s="27"/>
      <c r="S835" s="28"/>
      <c r="T835" s="28"/>
      <c r="V835" s="29"/>
      <c r="W835" s="29"/>
      <c r="AB835" s="28"/>
      <c r="CQ835" s="28"/>
      <c r="CR835" s="28"/>
      <c r="CS835" s="28"/>
    </row>
    <row r="836" spans="5:97" ht="12.75">
      <c r="E836" s="26"/>
      <c r="F836" s="26"/>
      <c r="H836" s="27"/>
      <c r="I836" s="27"/>
      <c r="S836" s="28"/>
      <c r="T836" s="28"/>
      <c r="V836" s="29"/>
      <c r="W836" s="29"/>
      <c r="AB836" s="28"/>
      <c r="CQ836" s="28"/>
      <c r="CR836" s="28"/>
      <c r="CS836" s="28"/>
    </row>
    <row r="837" spans="5:97" ht="12.75">
      <c r="E837" s="26"/>
      <c r="F837" s="26"/>
      <c r="H837" s="27"/>
      <c r="I837" s="27"/>
      <c r="S837" s="28"/>
      <c r="T837" s="28"/>
      <c r="V837" s="29"/>
      <c r="W837" s="29"/>
      <c r="AB837" s="28"/>
      <c r="CQ837" s="28"/>
      <c r="CR837" s="28"/>
      <c r="CS837" s="28"/>
    </row>
    <row r="838" spans="5:97" ht="12.75">
      <c r="E838" s="26"/>
      <c r="F838" s="26"/>
      <c r="H838" s="27"/>
      <c r="I838" s="27"/>
      <c r="S838" s="28"/>
      <c r="T838" s="28"/>
      <c r="V838" s="29"/>
      <c r="W838" s="29"/>
      <c r="AB838" s="28"/>
      <c r="CQ838" s="28"/>
      <c r="CR838" s="28"/>
      <c r="CS838" s="28"/>
    </row>
    <row r="839" spans="5:97" ht="12.75">
      <c r="E839" s="26"/>
      <c r="F839" s="26"/>
      <c r="H839" s="27"/>
      <c r="I839" s="27"/>
      <c r="S839" s="28"/>
      <c r="T839" s="28"/>
      <c r="V839" s="29"/>
      <c r="W839" s="29"/>
      <c r="AB839" s="28"/>
      <c r="CQ839" s="28"/>
      <c r="CR839" s="28"/>
      <c r="CS839" s="28"/>
    </row>
    <row r="840" spans="5:97" ht="12.75">
      <c r="E840" s="26"/>
      <c r="F840" s="26"/>
      <c r="H840" s="27"/>
      <c r="I840" s="27"/>
      <c r="S840" s="28"/>
      <c r="T840" s="28"/>
      <c r="V840" s="29"/>
      <c r="W840" s="29"/>
      <c r="AB840" s="28"/>
      <c r="CQ840" s="28"/>
      <c r="CR840" s="28"/>
      <c r="CS840" s="28"/>
    </row>
    <row r="841" spans="5:97" ht="12.75">
      <c r="E841" s="26"/>
      <c r="F841" s="26"/>
      <c r="H841" s="27"/>
      <c r="I841" s="27"/>
      <c r="S841" s="28"/>
      <c r="T841" s="28"/>
      <c r="V841" s="29"/>
      <c r="W841" s="29"/>
      <c r="AB841" s="28"/>
      <c r="CQ841" s="28"/>
      <c r="CR841" s="28"/>
      <c r="CS841" s="28"/>
    </row>
    <row r="842" spans="5:97" ht="12.75">
      <c r="E842" s="26"/>
      <c r="F842" s="26"/>
      <c r="H842" s="27"/>
      <c r="I842" s="27"/>
      <c r="S842" s="28"/>
      <c r="T842" s="28"/>
      <c r="V842" s="29"/>
      <c r="W842" s="29"/>
      <c r="AB842" s="28"/>
      <c r="CQ842" s="28"/>
      <c r="CR842" s="28"/>
      <c r="CS842" s="28"/>
    </row>
    <row r="843" spans="5:97" ht="12.75">
      <c r="E843" s="26"/>
      <c r="F843" s="26"/>
      <c r="H843" s="27"/>
      <c r="I843" s="27"/>
      <c r="S843" s="28"/>
      <c r="T843" s="28"/>
      <c r="V843" s="29"/>
      <c r="W843" s="29"/>
      <c r="AB843" s="28"/>
      <c r="CQ843" s="28"/>
      <c r="CR843" s="28"/>
      <c r="CS843" s="28"/>
    </row>
    <row r="844" spans="5:97" ht="12.75">
      <c r="E844" s="26"/>
      <c r="F844" s="26"/>
      <c r="H844" s="27"/>
      <c r="I844" s="27"/>
      <c r="S844" s="28"/>
      <c r="T844" s="28"/>
      <c r="V844" s="29"/>
      <c r="W844" s="29"/>
      <c r="AB844" s="28"/>
      <c r="CQ844" s="28"/>
      <c r="CR844" s="28"/>
      <c r="CS844" s="28"/>
    </row>
    <row r="845" spans="5:97" ht="12.75">
      <c r="E845" s="26"/>
      <c r="F845" s="26"/>
      <c r="H845" s="27"/>
      <c r="I845" s="27"/>
      <c r="S845" s="28"/>
      <c r="T845" s="28"/>
      <c r="V845" s="29"/>
      <c r="W845" s="29"/>
      <c r="AB845" s="28"/>
      <c r="CQ845" s="28"/>
      <c r="CR845" s="28"/>
      <c r="CS845" s="28"/>
    </row>
    <row r="846" spans="5:97" ht="12.75">
      <c r="E846" s="26"/>
      <c r="F846" s="26"/>
      <c r="H846" s="27"/>
      <c r="I846" s="27"/>
      <c r="S846" s="28"/>
      <c r="T846" s="28"/>
      <c r="V846" s="29"/>
      <c r="W846" s="29"/>
      <c r="AB846" s="28"/>
      <c r="CQ846" s="28"/>
      <c r="CR846" s="28"/>
      <c r="CS846" s="28"/>
    </row>
    <row r="847" spans="5:97" ht="12.75">
      <c r="E847" s="26"/>
      <c r="F847" s="26"/>
      <c r="H847" s="27"/>
      <c r="I847" s="27"/>
      <c r="S847" s="28"/>
      <c r="T847" s="28"/>
      <c r="V847" s="29"/>
      <c r="W847" s="29"/>
      <c r="AB847" s="28"/>
      <c r="CQ847" s="28"/>
      <c r="CR847" s="28"/>
      <c r="CS847" s="28"/>
    </row>
    <row r="848" spans="5:97" ht="12.75">
      <c r="E848" s="26"/>
      <c r="F848" s="26"/>
      <c r="H848" s="27"/>
      <c r="I848" s="27"/>
      <c r="S848" s="28"/>
      <c r="T848" s="28"/>
      <c r="V848" s="29"/>
      <c r="W848" s="29"/>
      <c r="AB848" s="28"/>
      <c r="CQ848" s="28"/>
      <c r="CR848" s="28"/>
      <c r="CS848" s="28"/>
    </row>
    <row r="849" spans="5:97" ht="12.75">
      <c r="E849" s="26"/>
      <c r="F849" s="26"/>
      <c r="H849" s="27"/>
      <c r="I849" s="27"/>
      <c r="S849" s="28"/>
      <c r="T849" s="28"/>
      <c r="V849" s="29"/>
      <c r="W849" s="29"/>
      <c r="AB849" s="28"/>
      <c r="CQ849" s="28"/>
      <c r="CR849" s="28"/>
      <c r="CS849" s="28"/>
    </row>
    <row r="850" spans="5:98" ht="12.75">
      <c r="E850" s="26"/>
      <c r="F850" s="26"/>
      <c r="H850" s="27"/>
      <c r="I850" s="27"/>
      <c r="S850" s="28"/>
      <c r="T850" s="28"/>
      <c r="V850" s="29"/>
      <c r="W850" s="29"/>
      <c r="AB850" s="28"/>
      <c r="CQ850" s="28"/>
      <c r="CR850" s="28"/>
      <c r="CS850" s="28"/>
      <c r="CT850" s="28"/>
    </row>
    <row r="851" spans="5:98" ht="12.75">
      <c r="E851" s="26"/>
      <c r="F851" s="26"/>
      <c r="H851" s="27"/>
      <c r="I851" s="27"/>
      <c r="S851" s="28"/>
      <c r="T851" s="28"/>
      <c r="V851" s="29"/>
      <c r="W851" s="29"/>
      <c r="AB851" s="28"/>
      <c r="CQ851" s="28"/>
      <c r="CR851" s="28"/>
      <c r="CS851" s="1"/>
      <c r="CT851" s="1"/>
    </row>
    <row r="852" spans="5:96" ht="12.75">
      <c r="E852" s="26"/>
      <c r="F852" s="26"/>
      <c r="H852" s="27"/>
      <c r="I852" s="27"/>
      <c r="S852" s="28"/>
      <c r="T852" s="28"/>
      <c r="V852" s="29"/>
      <c r="W852" s="29"/>
      <c r="AB852" s="28"/>
      <c r="CQ852" s="28"/>
      <c r="CR852" s="28"/>
    </row>
    <row r="853" spans="5:96" ht="12.75">
      <c r="E853" s="26"/>
      <c r="F853" s="26"/>
      <c r="G853" s="28"/>
      <c r="H853" s="27"/>
      <c r="I853" s="27"/>
      <c r="J853" s="28"/>
      <c r="K853" s="28"/>
      <c r="L853" s="28"/>
      <c r="O853" s="28"/>
      <c r="P853" s="28"/>
      <c r="Q853" s="28"/>
      <c r="R853" s="28"/>
      <c r="S853" s="28"/>
      <c r="T853" s="28"/>
      <c r="U853" s="28"/>
      <c r="V853" s="28"/>
      <c r="W853" s="28"/>
      <c r="AB853" s="28"/>
      <c r="AC853" s="28"/>
      <c r="AD853" s="28"/>
      <c r="AE853" s="28"/>
      <c r="AG853" s="28"/>
      <c r="AH853" s="28"/>
      <c r="AI853" s="28"/>
      <c r="AJ853" s="28"/>
      <c r="AK853" s="28"/>
      <c r="CP853" s="28"/>
      <c r="CQ853" s="28"/>
      <c r="CR853" s="28"/>
    </row>
    <row r="854" spans="19:96" ht="12.75">
      <c r="S854" s="1"/>
      <c r="T854" s="1"/>
      <c r="AB854" s="1"/>
      <c r="CQ854" s="1"/>
      <c r="CR854" s="1"/>
    </row>
    <row r="855" spans="22:23" ht="12.75">
      <c r="V855" s="29"/>
      <c r="W855" s="29"/>
    </row>
    <row r="856" spans="22:23" ht="12.75">
      <c r="V856" s="29"/>
      <c r="W856" s="29"/>
    </row>
    <row r="857" spans="22:23" ht="12.75">
      <c r="V857" s="29"/>
      <c r="W857" s="29"/>
    </row>
    <row r="858" spans="22:23" ht="12.75">
      <c r="V858" s="29"/>
      <c r="W858" s="29"/>
    </row>
    <row r="859" spans="22:23" ht="12.75">
      <c r="V859" s="29"/>
      <c r="W859" s="29"/>
    </row>
    <row r="860" spans="22:23" ht="12.75">
      <c r="V860" s="29"/>
      <c r="W860" s="29"/>
    </row>
    <row r="861" spans="22:23" ht="12.75">
      <c r="V861" s="29"/>
      <c r="W861" s="29"/>
    </row>
    <row r="862" spans="22:23" ht="12.75">
      <c r="V862" s="29"/>
      <c r="W862" s="29"/>
    </row>
    <row r="863" spans="22:23" ht="12.75">
      <c r="V863" s="29"/>
      <c r="W863" s="29"/>
    </row>
    <row r="864" spans="22:23" ht="12.75">
      <c r="V864" s="29"/>
      <c r="W864" s="29"/>
    </row>
    <row r="865" spans="22:23" ht="12.75">
      <c r="V865" s="29"/>
      <c r="W865" s="29"/>
    </row>
    <row r="866" spans="22:23" ht="12.75">
      <c r="V866" s="29"/>
      <c r="W866" s="29"/>
    </row>
    <row r="867" spans="22:23" ht="12.75">
      <c r="V867" s="29"/>
      <c r="W867" s="29"/>
    </row>
    <row r="868" spans="22:23" ht="12.75">
      <c r="V868" s="29"/>
      <c r="W868" s="29"/>
    </row>
    <row r="869" spans="22:23" ht="12.75">
      <c r="V869" s="29"/>
      <c r="W869" s="29"/>
    </row>
    <row r="870" spans="22:23" ht="12.75">
      <c r="V870" s="29"/>
      <c r="W870" s="29"/>
    </row>
    <row r="871" spans="22:23" ht="12.75">
      <c r="V871" s="29"/>
      <c r="W871" s="29"/>
    </row>
    <row r="872" spans="22:23" ht="12.75">
      <c r="V872" s="29"/>
      <c r="W872" s="29"/>
    </row>
    <row r="873" spans="22:23" ht="12.75">
      <c r="V873" s="29"/>
      <c r="W873" s="29"/>
    </row>
    <row r="874" spans="22:23" ht="12.75">
      <c r="V874" s="29"/>
      <c r="W874" s="29"/>
    </row>
    <row r="875" spans="22:23" ht="12.75">
      <c r="V875" s="29"/>
      <c r="W875" s="29"/>
    </row>
    <row r="876" spans="22:23" ht="12.75">
      <c r="V876" s="29"/>
      <c r="W876" s="29"/>
    </row>
    <row r="877" spans="22:23" ht="12.75">
      <c r="V877" s="29"/>
      <c r="W877" s="29"/>
    </row>
    <row r="878" spans="22:23" ht="12.75">
      <c r="V878" s="29"/>
      <c r="W878" s="29"/>
    </row>
    <row r="879" spans="22:23" ht="12.75">
      <c r="V879" s="29"/>
      <c r="W879" s="29"/>
    </row>
    <row r="880" spans="22:23" ht="12.75">
      <c r="V880" s="29"/>
      <c r="W880" s="29"/>
    </row>
    <row r="881" spans="22:23" ht="12.75">
      <c r="V881" s="29"/>
      <c r="W881" s="29"/>
    </row>
    <row r="882" spans="22:23" ht="12.75">
      <c r="V882" s="29"/>
      <c r="W882" s="29"/>
    </row>
    <row r="883" spans="22:23" ht="12.75">
      <c r="V883" s="29"/>
      <c r="W883" s="29"/>
    </row>
    <row r="884" spans="22:23" ht="12.75">
      <c r="V884" s="29"/>
      <c r="W884" s="29"/>
    </row>
    <row r="885" spans="22:23" ht="12.75">
      <c r="V885" s="29"/>
      <c r="W885" s="29"/>
    </row>
    <row r="886" spans="22:23" ht="12.75">
      <c r="V886" s="29"/>
      <c r="W886" s="29"/>
    </row>
    <row r="887" spans="22:23" ht="12.75">
      <c r="V887" s="29"/>
      <c r="W887" s="29"/>
    </row>
    <row r="888" spans="22:23" ht="12.75">
      <c r="V888" s="29"/>
      <c r="W888" s="29"/>
    </row>
    <row r="889" spans="22:23" ht="12.75">
      <c r="V889" s="29"/>
      <c r="W889" s="29"/>
    </row>
    <row r="890" spans="22:23" ht="12.75">
      <c r="V890" s="29"/>
      <c r="W890" s="29"/>
    </row>
    <row r="891" spans="22:23" ht="12.75">
      <c r="V891" s="29"/>
      <c r="W891" s="29"/>
    </row>
    <row r="892" spans="22:23" ht="12.75">
      <c r="V892" s="29"/>
      <c r="W892" s="29"/>
    </row>
    <row r="893" spans="22:23" ht="12.75">
      <c r="V893" s="29"/>
      <c r="W893" s="29"/>
    </row>
    <row r="894" spans="22:23" ht="12.75">
      <c r="V894" s="29"/>
      <c r="W894" s="29"/>
    </row>
    <row r="895" spans="22:23" ht="12.75">
      <c r="V895" s="29"/>
      <c r="W895" s="29"/>
    </row>
    <row r="896" spans="22:23" ht="12.75">
      <c r="V896" s="29"/>
      <c r="W896" s="29"/>
    </row>
    <row r="897" spans="22:23" ht="12.75">
      <c r="V897" s="29"/>
      <c r="W897" s="29"/>
    </row>
    <row r="898" spans="22:23" ht="12.75">
      <c r="V898" s="29"/>
      <c r="W898" s="29"/>
    </row>
    <row r="899" spans="22:23" ht="12.75">
      <c r="V899" s="29"/>
      <c r="W899" s="29"/>
    </row>
    <row r="900" spans="22:23" ht="12.75">
      <c r="V900" s="29"/>
      <c r="W900" s="29"/>
    </row>
    <row r="901" spans="22:23" ht="12.75">
      <c r="V901" s="29"/>
      <c r="W901" s="29"/>
    </row>
    <row r="902" spans="22:23" ht="12.75">
      <c r="V902" s="29"/>
      <c r="W902" s="29"/>
    </row>
    <row r="903" spans="22:23" ht="12.75">
      <c r="V903" s="29"/>
      <c r="W903" s="29"/>
    </row>
    <row r="904" spans="22:23" ht="12.75">
      <c r="V904" s="29"/>
      <c r="W904" s="29"/>
    </row>
    <row r="905" spans="22:23" ht="12.75">
      <c r="V905" s="29"/>
      <c r="W905" s="29"/>
    </row>
    <row r="906" spans="22:23" ht="12.75">
      <c r="V906" s="29"/>
      <c r="W906" s="29"/>
    </row>
    <row r="907" spans="22:23" ht="12.75">
      <c r="V907" s="29"/>
      <c r="W907" s="29"/>
    </row>
    <row r="908" spans="22:23" ht="12.75">
      <c r="V908" s="29"/>
      <c r="W908" s="29"/>
    </row>
    <row r="909" spans="22:23" ht="12.75">
      <c r="V909" s="29"/>
      <c r="W909" s="29"/>
    </row>
    <row r="910" spans="22:23" ht="12.75">
      <c r="V910" s="29"/>
      <c r="W910" s="29"/>
    </row>
    <row r="911" spans="22:23" ht="12.75">
      <c r="V911" s="29"/>
      <c r="W911" s="29"/>
    </row>
    <row r="912" spans="22:23" ht="12.75">
      <c r="V912" s="29"/>
      <c r="W912" s="29"/>
    </row>
    <row r="913" spans="22:23" ht="12.75">
      <c r="V913" s="29"/>
      <c r="W913" s="29"/>
    </row>
    <row r="914" spans="22:23" ht="12.75">
      <c r="V914" s="29"/>
      <c r="W914" s="29"/>
    </row>
    <row r="915" spans="22:23" ht="12.75">
      <c r="V915" s="29"/>
      <c r="W915" s="29"/>
    </row>
    <row r="916" spans="22:23" ht="12.75">
      <c r="V916" s="29"/>
      <c r="W916" s="29"/>
    </row>
    <row r="917" spans="22:23" ht="12.75">
      <c r="V917" s="29"/>
      <c r="W917" s="29"/>
    </row>
    <row r="918" spans="22:23" ht="12.75">
      <c r="V918" s="29"/>
      <c r="W918" s="29"/>
    </row>
    <row r="919" spans="22:23" ht="12.75">
      <c r="V919" s="29"/>
      <c r="W919" s="29"/>
    </row>
    <row r="920" spans="22:23" ht="12.75">
      <c r="V920" s="29"/>
      <c r="W920" s="29"/>
    </row>
    <row r="921" spans="22:23" ht="12.75">
      <c r="V921" s="29"/>
      <c r="W921" s="29"/>
    </row>
    <row r="922" spans="22:23" ht="12.75">
      <c r="V922" s="29"/>
      <c r="W922" s="29"/>
    </row>
    <row r="923" spans="22:23" ht="12.75">
      <c r="V923" s="29"/>
      <c r="W923" s="29"/>
    </row>
    <row r="924" spans="22:23" ht="12.75">
      <c r="V924" s="29"/>
      <c r="W924" s="29"/>
    </row>
    <row r="925" spans="22:23" ht="12.75">
      <c r="V925" s="29"/>
      <c r="W925" s="29"/>
    </row>
    <row r="926" spans="22:23" ht="12.75">
      <c r="V926" s="29"/>
      <c r="W926" s="29"/>
    </row>
    <row r="927" spans="22:23" ht="12.75">
      <c r="V927" s="29"/>
      <c r="W927" s="29"/>
    </row>
    <row r="928" spans="22:23" ht="12.75">
      <c r="V928" s="29"/>
      <c r="W928" s="29"/>
    </row>
    <row r="929" spans="22:23" ht="12.75">
      <c r="V929" s="29"/>
      <c r="W929" s="29"/>
    </row>
    <row r="930" spans="22:23" ht="12.75">
      <c r="V930" s="29"/>
      <c r="W930" s="29"/>
    </row>
    <row r="931" spans="22:23" ht="12.75">
      <c r="V931" s="29"/>
      <c r="W931" s="29"/>
    </row>
    <row r="932" spans="22:23" ht="12.75">
      <c r="V932" s="29"/>
      <c r="W932" s="29"/>
    </row>
    <row r="933" spans="22:23" ht="12.75">
      <c r="V933" s="29"/>
      <c r="W933" s="29"/>
    </row>
    <row r="934" spans="22:23" ht="12.75">
      <c r="V934" s="29"/>
      <c r="W934" s="29"/>
    </row>
    <row r="935" spans="22:23" ht="12.75">
      <c r="V935" s="29"/>
      <c r="W935" s="29"/>
    </row>
    <row r="936" spans="22:23" ht="12.75">
      <c r="V936" s="29"/>
      <c r="W936" s="29"/>
    </row>
    <row r="937" spans="22:23" ht="12.75">
      <c r="V937" s="29"/>
      <c r="W937" s="29"/>
    </row>
    <row r="938" spans="22:23" ht="12.75">
      <c r="V938" s="29"/>
      <c r="W938" s="29"/>
    </row>
    <row r="939" spans="22:23" ht="12.75">
      <c r="V939" s="29"/>
      <c r="W939" s="29"/>
    </row>
    <row r="940" spans="22:23" ht="12.75">
      <c r="V940" s="29"/>
      <c r="W940" s="29"/>
    </row>
    <row r="941" spans="22:23" ht="12.75">
      <c r="V941" s="29"/>
      <c r="W941" s="29"/>
    </row>
    <row r="942" spans="22:23" ht="12.75">
      <c r="V942" s="29"/>
      <c r="W942" s="29"/>
    </row>
    <row r="943" spans="22:23" ht="12.75">
      <c r="V943" s="29"/>
      <c r="W943" s="29"/>
    </row>
    <row r="944" spans="22:23" ht="12.75">
      <c r="V944" s="29"/>
      <c r="W944" s="29"/>
    </row>
    <row r="945" spans="22:23" ht="12.75">
      <c r="V945" s="29"/>
      <c r="W945" s="29"/>
    </row>
    <row r="946" spans="22:23" ht="12.75">
      <c r="V946" s="29"/>
      <c r="W946" s="29"/>
    </row>
    <row r="947" spans="22:23" ht="12.75">
      <c r="V947" s="29"/>
      <c r="W947" s="29"/>
    </row>
    <row r="948" spans="22:23" ht="12.75">
      <c r="V948" s="29"/>
      <c r="W948" s="29"/>
    </row>
    <row r="949" spans="22:23" ht="12.75">
      <c r="V949" s="29"/>
      <c r="W949" s="29"/>
    </row>
    <row r="950" spans="22:23" ht="12.75">
      <c r="V950" s="29"/>
      <c r="W950" s="29"/>
    </row>
    <row r="951" spans="22:23" ht="12.75">
      <c r="V951" s="29"/>
      <c r="W951" s="29"/>
    </row>
    <row r="952" spans="22:23" ht="12.75">
      <c r="V952" s="29"/>
      <c r="W952" s="29"/>
    </row>
    <row r="953" spans="22:23" ht="12.75">
      <c r="V953" s="29"/>
      <c r="W953" s="29"/>
    </row>
    <row r="954" spans="22:23" ht="12.75">
      <c r="V954" s="29"/>
      <c r="W954" s="29"/>
    </row>
    <row r="955" spans="22:23" ht="12.75">
      <c r="V955" s="29"/>
      <c r="W955" s="29"/>
    </row>
    <row r="956" spans="22:23" ht="12.75">
      <c r="V956" s="29"/>
      <c r="W956" s="29"/>
    </row>
    <row r="957" spans="22:23" ht="12.75">
      <c r="V957" s="29"/>
      <c r="W957" s="29"/>
    </row>
    <row r="958" spans="22:23" ht="12.75">
      <c r="V958" s="29"/>
      <c r="W958" s="29"/>
    </row>
    <row r="959" spans="22:23" ht="12.75">
      <c r="V959" s="29"/>
      <c r="W959" s="29"/>
    </row>
    <row r="960" spans="22:23" ht="12.75">
      <c r="V960" s="29"/>
      <c r="W960" s="29"/>
    </row>
    <row r="961" spans="22:23" ht="12.75">
      <c r="V961" s="29"/>
      <c r="W961" s="29"/>
    </row>
    <row r="962" spans="22:23" ht="12.75">
      <c r="V962" s="29"/>
      <c r="W962" s="29"/>
    </row>
    <row r="963" spans="22:23" ht="12.75">
      <c r="V963" s="29"/>
      <c r="W963" s="29"/>
    </row>
    <row r="964" spans="22:23" ht="12.75">
      <c r="V964" s="29"/>
      <c r="W964" s="29"/>
    </row>
    <row r="965" spans="22:23" ht="12.75">
      <c r="V965" s="29"/>
      <c r="W965" s="29"/>
    </row>
    <row r="966" spans="22:23" ht="12.75">
      <c r="V966" s="29"/>
      <c r="W966" s="29"/>
    </row>
    <row r="967" spans="22:23" ht="12.75">
      <c r="V967" s="29"/>
      <c r="W967" s="29"/>
    </row>
    <row r="968" spans="22:23" ht="12.75">
      <c r="V968" s="29"/>
      <c r="W968" s="29"/>
    </row>
    <row r="969" spans="22:23" ht="12.75">
      <c r="V969" s="29"/>
      <c r="W969" s="29"/>
    </row>
    <row r="970" spans="22:23" ht="12.75">
      <c r="V970" s="29"/>
      <c r="W970" s="29"/>
    </row>
    <row r="971" spans="22:23" ht="12.75">
      <c r="V971" s="29"/>
      <c r="W971" s="29"/>
    </row>
    <row r="972" spans="22:23" ht="12.75">
      <c r="V972" s="29"/>
      <c r="W972" s="29"/>
    </row>
    <row r="973" spans="22:23" ht="12.75">
      <c r="V973" s="29"/>
      <c r="W973" s="29"/>
    </row>
    <row r="974" spans="22:23" ht="12.75">
      <c r="V974" s="29"/>
      <c r="W974" s="29"/>
    </row>
    <row r="975" spans="22:23" ht="12.75">
      <c r="V975" s="29"/>
      <c r="W975" s="29"/>
    </row>
    <row r="976" spans="22:23" ht="12.75">
      <c r="V976" s="29"/>
      <c r="W976" s="29"/>
    </row>
    <row r="977" spans="22:23" ht="12.75">
      <c r="V977" s="29"/>
      <c r="W977" s="29"/>
    </row>
    <row r="978" spans="22:23" ht="12.75">
      <c r="V978" s="29"/>
      <c r="W978" s="29"/>
    </row>
    <row r="979" spans="22:23" ht="12.75">
      <c r="V979" s="29"/>
      <c r="W979" s="29"/>
    </row>
    <row r="980" spans="22:23" ht="12.75">
      <c r="V980" s="29"/>
      <c r="W980" s="29"/>
    </row>
    <row r="981" spans="22:23" ht="12.75">
      <c r="V981" s="29"/>
      <c r="W981" s="29"/>
    </row>
    <row r="982" spans="22:23" ht="12.75">
      <c r="V982" s="29"/>
      <c r="W982" s="29"/>
    </row>
    <row r="983" spans="22:23" ht="12.75">
      <c r="V983" s="29"/>
      <c r="W983" s="29"/>
    </row>
    <row r="984" spans="22:23" ht="12.75">
      <c r="V984" s="29"/>
      <c r="W984" s="29"/>
    </row>
    <row r="985" spans="22:23" ht="12.75">
      <c r="V985" s="29"/>
      <c r="W985" s="29"/>
    </row>
    <row r="986" spans="22:23" ht="12.75">
      <c r="V986" s="29"/>
      <c r="W986" s="29"/>
    </row>
    <row r="987" spans="22:23" ht="12.75">
      <c r="V987" s="29"/>
      <c r="W987" s="29"/>
    </row>
    <row r="988" spans="22:23" ht="12.75">
      <c r="V988" s="29"/>
      <c r="W988" s="29"/>
    </row>
    <row r="989" spans="22:23" ht="12.75">
      <c r="V989" s="29"/>
      <c r="W989" s="29"/>
    </row>
    <row r="990" spans="22:23" ht="12.75">
      <c r="V990" s="29"/>
      <c r="W990" s="29"/>
    </row>
    <row r="991" spans="22:23" ht="12.75">
      <c r="V991" s="29"/>
      <c r="W991" s="29"/>
    </row>
    <row r="992" spans="22:23" ht="12.75">
      <c r="V992" s="29"/>
      <c r="W992" s="29"/>
    </row>
    <row r="993" spans="22:23" ht="12.75">
      <c r="V993" s="29"/>
      <c r="W993" s="29"/>
    </row>
    <row r="994" spans="22:23" ht="12.75">
      <c r="V994" s="29"/>
      <c r="W994" s="29"/>
    </row>
    <row r="995" spans="22:23" ht="12.75">
      <c r="V995" s="29"/>
      <c r="W995" s="29"/>
    </row>
    <row r="996" spans="22:23" ht="12.75">
      <c r="V996" s="29"/>
      <c r="W996" s="29"/>
    </row>
    <row r="997" spans="22:23" ht="12.75">
      <c r="V997" s="29"/>
      <c r="W997" s="29"/>
    </row>
    <row r="998" spans="22:23" ht="12.75">
      <c r="V998" s="29"/>
      <c r="W998" s="29"/>
    </row>
    <row r="999" spans="22:23" ht="12.75">
      <c r="V999" s="29"/>
      <c r="W999" s="29"/>
    </row>
    <row r="1000" spans="22:23" ht="12.75">
      <c r="V1000" s="29"/>
      <c r="W1000" s="29"/>
    </row>
    <row r="1001" spans="22:23" ht="12.75">
      <c r="V1001" s="29"/>
      <c r="W1001" s="29"/>
    </row>
    <row r="1002" spans="22:23" ht="12.75">
      <c r="V1002" s="29"/>
      <c r="W1002" s="29"/>
    </row>
    <row r="1003" spans="22:23" ht="12.75">
      <c r="V1003" s="29"/>
      <c r="W1003" s="29"/>
    </row>
    <row r="1004" spans="22:23" ht="12.75">
      <c r="V1004" s="29"/>
      <c r="W1004" s="29"/>
    </row>
    <row r="1005" spans="22:23" ht="12.75">
      <c r="V1005" s="29"/>
      <c r="W1005" s="29"/>
    </row>
    <row r="1006" spans="22:23" ht="12.75">
      <c r="V1006" s="29"/>
      <c r="W1006" s="29"/>
    </row>
    <row r="1007" spans="22:23" ht="12.75">
      <c r="V1007" s="29"/>
      <c r="W1007" s="29"/>
    </row>
    <row r="1008" spans="22:23" ht="12.75">
      <c r="V1008" s="29"/>
      <c r="W1008" s="29"/>
    </row>
    <row r="1009" spans="22:23" ht="12.75">
      <c r="V1009" s="29"/>
      <c r="W1009" s="29"/>
    </row>
    <row r="1010" spans="22:23" ht="12.75">
      <c r="V1010" s="29"/>
      <c r="W1010" s="29"/>
    </row>
    <row r="1011" spans="22:23" ht="12.75">
      <c r="V1011" s="29"/>
      <c r="W1011" s="29"/>
    </row>
    <row r="1012" spans="22:23" ht="12.75">
      <c r="V1012" s="29"/>
      <c r="W1012" s="29"/>
    </row>
    <row r="1013" spans="22:23" ht="12.75">
      <c r="V1013" s="29"/>
      <c r="W1013" s="29"/>
    </row>
  </sheetData>
  <mergeCells count="109">
    <mergeCell ref="L2:L5"/>
    <mergeCell ref="CZ2:DA4"/>
    <mergeCell ref="CV2:CW4"/>
    <mergeCell ref="CX2:CY4"/>
    <mergeCell ref="CT2:CT5"/>
    <mergeCell ref="CS2:CS5"/>
    <mergeCell ref="BP2:BQ3"/>
    <mergeCell ref="CD2:CM2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2:CN5"/>
    <mergeCell ref="CO2:CO5"/>
    <mergeCell ref="BY2:CB2"/>
    <mergeCell ref="CC2:CC5"/>
    <mergeCell ref="BY3:BY5"/>
    <mergeCell ref="CR2:CR5"/>
    <mergeCell ref="BJ3:BJ5"/>
    <mergeCell ref="BK3:BK5"/>
    <mergeCell ref="BZ3:BZ5"/>
    <mergeCell ref="CA3:CA5"/>
    <mergeCell ref="CQ2:CQ5"/>
    <mergeCell ref="CP2:CP5"/>
    <mergeCell ref="CB3:CB5"/>
    <mergeCell ref="BX2:BX5"/>
    <mergeCell ref="BU2:BU5"/>
    <mergeCell ref="BM2:BO2"/>
    <mergeCell ref="BM3:BM5"/>
    <mergeCell ref="BN3:BN5"/>
    <mergeCell ref="BO3:BO5"/>
    <mergeCell ref="BW2:BW5"/>
    <mergeCell ref="BV2:BV5"/>
    <mergeCell ref="BR2:BR5"/>
    <mergeCell ref="BS2:BS5"/>
    <mergeCell ref="BT2:BT5"/>
    <mergeCell ref="BJ2:BL2"/>
    <mergeCell ref="BL3:BL5"/>
    <mergeCell ref="O2:R2"/>
    <mergeCell ref="O3:O5"/>
    <mergeCell ref="P3:P5"/>
    <mergeCell ref="Q3:Q5"/>
    <mergeCell ref="R3:R5"/>
    <mergeCell ref="N3:N5"/>
    <mergeCell ref="S4:T4"/>
    <mergeCell ref="S3:T3"/>
    <mergeCell ref="X3:Z3"/>
    <mergeCell ref="U3:W3"/>
    <mergeCell ref="X4:X5"/>
    <mergeCell ref="AB3:AD3"/>
    <mergeCell ref="AE3:AE5"/>
    <mergeCell ref="AA3:AA5"/>
    <mergeCell ref="AB4:AB5"/>
    <mergeCell ref="AC4:AD4"/>
    <mergeCell ref="AJ2:AJ5"/>
    <mergeCell ref="AK2:AK5"/>
    <mergeCell ref="S2:Z2"/>
    <mergeCell ref="U4:U5"/>
    <mergeCell ref="AN2:AN5"/>
    <mergeCell ref="AO2:AO5"/>
    <mergeCell ref="AG2:AG5"/>
    <mergeCell ref="AH2:AH5"/>
    <mergeCell ref="AI2:AI5"/>
    <mergeCell ref="A2:A5"/>
    <mergeCell ref="AL2:AL5"/>
    <mergeCell ref="AM2:AM5"/>
    <mergeCell ref="B2:B5"/>
    <mergeCell ref="C2:C5"/>
    <mergeCell ref="D2:D5"/>
    <mergeCell ref="E2:E5"/>
    <mergeCell ref="M2:N2"/>
    <mergeCell ref="F2:F5"/>
    <mergeCell ref="G2:G5"/>
    <mergeCell ref="H2:H5"/>
    <mergeCell ref="I2:I5"/>
    <mergeCell ref="J2:J5"/>
    <mergeCell ref="K2:K5"/>
    <mergeCell ref="M3:M5"/>
    <mergeCell ref="AF2:AF5"/>
    <mergeCell ref="V4:W4"/>
    <mergeCell ref="AA2:AE2"/>
    <mergeCell ref="Y4:Z4"/>
    <mergeCell ref="BI3:BI5"/>
    <mergeCell ref="BG2:BI2"/>
    <mergeCell ref="BC2:BC5"/>
    <mergeCell ref="BD2:BF4"/>
    <mergeCell ref="AR3:AR5"/>
    <mergeCell ref="AS3:AT3"/>
    <mergeCell ref="BG3:BG5"/>
    <mergeCell ref="BH3:BH5"/>
    <mergeCell ref="AP2:AP5"/>
    <mergeCell ref="AQ2:AQ5"/>
    <mergeCell ref="AS4:AS5"/>
    <mergeCell ref="AT4:AT5"/>
    <mergeCell ref="AX2:AX5"/>
    <mergeCell ref="AY2:AY5"/>
    <mergeCell ref="AZ2:AZ5"/>
    <mergeCell ref="BA2:BA5"/>
    <mergeCell ref="BB2:BB5"/>
    <mergeCell ref="AU2:AU5"/>
    <mergeCell ref="AV2:AV5"/>
    <mergeCell ref="AW2:AW5"/>
    <mergeCell ref="AR2:AT2"/>
  </mergeCells>
  <printOptions/>
  <pageMargins left="0.2362204724409449" right="0.2362204724409449" top="0.2362204724409449" bottom="0.4724409448818898" header="0.1968503937007874" footer="0.2755905511811024"/>
  <pageSetup horizontalDpi="300" verticalDpi="300" orientation="landscape" paperSize="9" scale="7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H20" sqref="H20"/>
    </sheetView>
  </sheetViews>
  <sheetFormatPr defaultColWidth="9.16015625" defaultRowHeight="12.75"/>
  <cols>
    <col min="1" max="1" width="22.66015625" style="60" customWidth="1"/>
    <col min="2" max="3" width="5.83203125" style="60" customWidth="1"/>
    <col min="4" max="5" width="8" style="60" customWidth="1"/>
    <col min="6" max="6" width="5.5" style="60" customWidth="1"/>
    <col min="7" max="8" width="8" style="60" customWidth="1"/>
    <col min="9" max="9" width="5.66015625" style="60" customWidth="1"/>
    <col min="10" max="11" width="8" style="60" customWidth="1"/>
    <col min="12" max="13" width="9.5" style="60" bestFit="1" customWidth="1"/>
    <col min="14" max="15" width="8.33203125" style="60" customWidth="1"/>
    <col min="16" max="16" width="6.5" style="60" customWidth="1"/>
    <col min="17" max="17" width="14.33203125" style="60" customWidth="1"/>
    <col min="18" max="16384" width="9.33203125" style="60" customWidth="1"/>
  </cols>
  <sheetData>
    <row r="1" ht="12.75">
      <c r="A1" s="64" t="s">
        <v>189</v>
      </c>
    </row>
    <row r="3" spans="1:17" ht="19.5" customHeight="1">
      <c r="A3" s="202" t="s">
        <v>190</v>
      </c>
      <c r="B3" s="202" t="s">
        <v>196</v>
      </c>
      <c r="C3" s="202"/>
      <c r="D3" s="213" t="s">
        <v>149</v>
      </c>
      <c r="E3" s="213"/>
      <c r="F3" s="213"/>
      <c r="G3" s="213"/>
      <c r="H3" s="213"/>
      <c r="I3" s="213"/>
      <c r="J3" s="213"/>
      <c r="K3" s="213"/>
      <c r="L3" s="214" t="s">
        <v>151</v>
      </c>
      <c r="M3" s="214"/>
      <c r="N3" s="214"/>
      <c r="O3" s="214"/>
      <c r="P3" s="214"/>
      <c r="Q3" s="202" t="s">
        <v>195</v>
      </c>
    </row>
    <row r="4" spans="1:17" ht="12.75" customHeight="1">
      <c r="A4" s="202"/>
      <c r="B4" s="215" t="s">
        <v>192</v>
      </c>
      <c r="C4" s="203" t="s">
        <v>46</v>
      </c>
      <c r="D4" s="204" t="s">
        <v>50</v>
      </c>
      <c r="E4" s="205"/>
      <c r="F4" s="206" t="s">
        <v>147</v>
      </c>
      <c r="G4" s="206"/>
      <c r="H4" s="206"/>
      <c r="I4" s="206" t="s">
        <v>148</v>
      </c>
      <c r="J4" s="206"/>
      <c r="K4" s="206"/>
      <c r="L4" s="206" t="s">
        <v>152</v>
      </c>
      <c r="M4" s="214" t="s">
        <v>148</v>
      </c>
      <c r="N4" s="214"/>
      <c r="O4" s="214"/>
      <c r="P4" s="207" t="s">
        <v>194</v>
      </c>
      <c r="Q4" s="202"/>
    </row>
    <row r="5" spans="1:17" ht="12.75">
      <c r="A5" s="202"/>
      <c r="B5" s="215"/>
      <c r="C5" s="203"/>
      <c r="D5" s="210" t="s">
        <v>52</v>
      </c>
      <c r="E5" s="210"/>
      <c r="F5" s="211" t="s">
        <v>46</v>
      </c>
      <c r="G5" s="210" t="s">
        <v>52</v>
      </c>
      <c r="H5" s="210"/>
      <c r="I5" s="211" t="s">
        <v>46</v>
      </c>
      <c r="J5" s="210" t="s">
        <v>52</v>
      </c>
      <c r="K5" s="210"/>
      <c r="L5" s="206"/>
      <c r="M5" s="213" t="s">
        <v>150</v>
      </c>
      <c r="N5" s="213"/>
      <c r="O5" s="203" t="s">
        <v>193</v>
      </c>
      <c r="P5" s="208"/>
      <c r="Q5" s="202"/>
    </row>
    <row r="6" spans="1:17" ht="88.5" customHeight="1">
      <c r="A6" s="202"/>
      <c r="B6" s="215"/>
      <c r="C6" s="203"/>
      <c r="D6" s="73" t="s">
        <v>49</v>
      </c>
      <c r="E6" s="68" t="s">
        <v>5</v>
      </c>
      <c r="F6" s="212"/>
      <c r="G6" s="74" t="s">
        <v>49</v>
      </c>
      <c r="H6" s="68" t="s">
        <v>5</v>
      </c>
      <c r="I6" s="212"/>
      <c r="J6" s="74" t="s">
        <v>49</v>
      </c>
      <c r="K6" s="68" t="s">
        <v>5</v>
      </c>
      <c r="L6" s="206"/>
      <c r="M6" s="75" t="s">
        <v>50</v>
      </c>
      <c r="N6" s="76" t="s">
        <v>51</v>
      </c>
      <c r="O6" s="203"/>
      <c r="P6" s="209"/>
      <c r="Q6" s="202"/>
    </row>
    <row r="7" spans="1:17" ht="26.25" customHeight="1">
      <c r="A7" s="59" t="s">
        <v>188</v>
      </c>
      <c r="B7" s="77">
        <v>2</v>
      </c>
      <c r="C7" s="78">
        <v>90</v>
      </c>
      <c r="D7" s="79">
        <f>1693.99</f>
        <v>1693.99</v>
      </c>
      <c r="E7" s="80">
        <f>1158.31</f>
        <v>1158.31</v>
      </c>
      <c r="F7" s="78">
        <v>16</v>
      </c>
      <c r="G7" s="81">
        <v>331.86</v>
      </c>
      <c r="H7" s="82">
        <v>188.4</v>
      </c>
      <c r="I7" s="78">
        <f>C7-F7</f>
        <v>74</v>
      </c>
      <c r="J7" s="83">
        <f>D7-G7</f>
        <v>1362.13</v>
      </c>
      <c r="K7" s="84">
        <f>E7-H7</f>
        <v>969.91</v>
      </c>
      <c r="L7" s="85">
        <f>M7+O7+P7</f>
        <v>86.70000000000005</v>
      </c>
      <c r="M7" s="86">
        <f>891.01-804.31</f>
        <v>86.70000000000005</v>
      </c>
      <c r="N7" s="87">
        <v>86.7</v>
      </c>
      <c r="O7" s="88"/>
      <c r="P7" s="83"/>
      <c r="Q7" s="89">
        <f>D7+L7</f>
        <v>1780.69</v>
      </c>
    </row>
    <row r="8" spans="1:17" ht="25.5">
      <c r="A8" s="59" t="s">
        <v>191</v>
      </c>
      <c r="B8" s="77">
        <v>1</v>
      </c>
      <c r="C8" s="90">
        <v>55</v>
      </c>
      <c r="D8" s="91">
        <v>705</v>
      </c>
      <c r="E8" s="66">
        <v>413</v>
      </c>
      <c r="F8" s="90">
        <v>6</v>
      </c>
      <c r="G8" s="70">
        <v>117.96</v>
      </c>
      <c r="H8" s="72">
        <v>62</v>
      </c>
      <c r="I8" s="92">
        <f>C8-F8</f>
        <v>49</v>
      </c>
      <c r="J8" s="92">
        <f>D8-G8</f>
        <v>587.04</v>
      </c>
      <c r="K8" s="69">
        <f>E8-H8</f>
        <v>351</v>
      </c>
      <c r="L8" s="93">
        <f>M8+O8+P8</f>
        <v>0</v>
      </c>
      <c r="M8" s="94"/>
      <c r="N8" s="71"/>
      <c r="O8" s="70"/>
      <c r="P8" s="70"/>
      <c r="Q8" s="95">
        <f>D8+L8</f>
        <v>705</v>
      </c>
    </row>
    <row r="9" spans="1:17" s="47" customFormat="1" ht="26.25" customHeight="1">
      <c r="A9" s="61" t="s">
        <v>50</v>
      </c>
      <c r="B9" s="61">
        <f>B7+B8</f>
        <v>3</v>
      </c>
      <c r="C9" s="61">
        <f>C7+C8</f>
        <v>145</v>
      </c>
      <c r="D9" s="63">
        <f>D7+D8</f>
        <v>2398.99</v>
      </c>
      <c r="E9" s="67">
        <f>E7+E8</f>
        <v>1571.31</v>
      </c>
      <c r="F9" s="65">
        <f>F7+F8</f>
        <v>22</v>
      </c>
      <c r="G9" s="62">
        <f>G7+G8</f>
        <v>449.82</v>
      </c>
      <c r="H9" s="67">
        <f>H7+H8</f>
        <v>250.4</v>
      </c>
      <c r="I9" s="65">
        <f>I7+I8</f>
        <v>123</v>
      </c>
      <c r="J9" s="62">
        <f>J7+J8</f>
        <v>1949.17</v>
      </c>
      <c r="K9" s="67">
        <f>K7+K8</f>
        <v>1320.9099999999999</v>
      </c>
      <c r="L9" s="63">
        <f>L7+L8</f>
        <v>86.70000000000005</v>
      </c>
      <c r="M9" s="62">
        <f>M7+M8</f>
        <v>86.70000000000005</v>
      </c>
      <c r="N9" s="67">
        <f>N7+N8</f>
        <v>86.7</v>
      </c>
      <c r="O9" s="62">
        <f>O7+O8</f>
        <v>0</v>
      </c>
      <c r="P9" s="62">
        <f>P7+P8</f>
        <v>0</v>
      </c>
      <c r="Q9" s="63">
        <f>Q7+Q8</f>
        <v>2485.69</v>
      </c>
    </row>
  </sheetData>
  <mergeCells count="20">
    <mergeCell ref="A3:A6"/>
    <mergeCell ref="B4:B6"/>
    <mergeCell ref="B3:C3"/>
    <mergeCell ref="I4:K4"/>
    <mergeCell ref="L4:L6"/>
    <mergeCell ref="D3:K3"/>
    <mergeCell ref="L3:P3"/>
    <mergeCell ref="Q3:Q6"/>
    <mergeCell ref="C4:C6"/>
    <mergeCell ref="D4:E4"/>
    <mergeCell ref="F4:H4"/>
    <mergeCell ref="P4:P6"/>
    <mergeCell ref="D5:E5"/>
    <mergeCell ref="F5:F6"/>
    <mergeCell ref="G5:H5"/>
    <mergeCell ref="I5:I6"/>
    <mergeCell ref="J5:K5"/>
    <mergeCell ref="M5:N5"/>
    <mergeCell ref="O5:O6"/>
    <mergeCell ref="M4:O4"/>
  </mergeCells>
  <printOptions/>
  <pageMargins left="0.7480314960629921" right="0.27559055118110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2010-09-23T19:35:11Z</dcterms:created>
  <dcterms:modified xsi:type="dcterms:W3CDTF">2010-09-23T19:51:49Z</dcterms:modified>
  <cp:category/>
  <cp:version/>
  <cp:contentType/>
  <cp:contentStatus/>
</cp:coreProperties>
</file>