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8" yWindow="-36" windowWidth="6660" windowHeight="10512"/>
  </bookViews>
  <sheets>
    <sheet name="sv" sheetId="1" r:id="rId1"/>
  </sheets>
  <definedNames>
    <definedName name="_xlnm._FilterDatabase" localSheetId="0" hidden="1">sv!$A$6:$DQ$53</definedName>
    <definedName name="_xlnm.Print_Titles" localSheetId="0">sv!$B:$C,sv!$2:$5</definedName>
  </definedNames>
  <calcPr calcId="125725"/>
</workbook>
</file>

<file path=xl/calcChain.xml><?xml version="1.0" encoding="utf-8"?>
<calcChain xmlns="http://schemas.openxmlformats.org/spreadsheetml/2006/main">
  <c r="G257" i="1"/>
  <c r="R8" l="1"/>
  <c r="R25" l="1"/>
  <c r="U25" s="1"/>
  <c r="T25"/>
  <c r="AG25"/>
  <c r="J256" l="1"/>
  <c r="K256"/>
  <c r="L256"/>
  <c r="M256"/>
  <c r="P256"/>
  <c r="Q256"/>
  <c r="W256"/>
  <c r="X256"/>
  <c r="Y256"/>
  <c r="Z256"/>
  <c r="AA256"/>
  <c r="AB256"/>
  <c r="AE256"/>
  <c r="AJ256"/>
  <c r="AK256"/>
  <c r="AL256"/>
  <c r="AM256"/>
  <c r="AN256"/>
  <c r="AO256"/>
  <c r="AP256"/>
  <c r="AQ256"/>
  <c r="AR256"/>
  <c r="AS256"/>
  <c r="AT256"/>
  <c r="AV256"/>
  <c r="AX256"/>
  <c r="AY256"/>
  <c r="AZ256"/>
  <c r="BA256"/>
  <c r="BB256"/>
  <c r="BC256"/>
  <c r="BF256"/>
  <c r="BH256"/>
  <c r="BI256"/>
  <c r="BS256"/>
  <c r="BT256"/>
  <c r="BV256"/>
  <c r="BW256"/>
  <c r="BY256"/>
  <c r="BZ256"/>
  <c r="CA256"/>
  <c r="CP256"/>
  <c r="CQ256"/>
  <c r="CR256"/>
  <c r="CS256"/>
  <c r="CT256"/>
  <c r="CU256"/>
  <c r="CV256"/>
  <c r="CW256"/>
  <c r="CX256"/>
  <c r="CY256"/>
  <c r="CZ256"/>
  <c r="DA256"/>
  <c r="DB256"/>
  <c r="DC256"/>
  <c r="DD256"/>
  <c r="DE256"/>
  <c r="DF256"/>
  <c r="DG256"/>
  <c r="DH256"/>
  <c r="DI256"/>
  <c r="DJ256"/>
  <c r="DK256"/>
  <c r="DL256"/>
  <c r="DM256"/>
  <c r="DN256"/>
  <c r="DO256"/>
  <c r="DQ256"/>
  <c r="G256"/>
  <c r="DP28" l="1"/>
  <c r="CL28"/>
  <c r="CK28"/>
  <c r="CJ28"/>
  <c r="CB28"/>
  <c r="BX28"/>
  <c r="BU28"/>
  <c r="CF28"/>
  <c r="CH28" s="1"/>
  <c r="AU28"/>
  <c r="AD28"/>
  <c r="AC28" s="1"/>
  <c r="AI28" s="1"/>
  <c r="CN28" s="1"/>
  <c r="V28"/>
  <c r="U28"/>
  <c r="BL28"/>
  <c r="BO28"/>
  <c r="BR28"/>
  <c r="BK28"/>
  <c r="BN28"/>
  <c r="BQ28"/>
  <c r="BJ28"/>
  <c r="BM28"/>
  <c r="BP28"/>
  <c r="CE28" l="1"/>
  <c r="CM28"/>
  <c r="CO28"/>
  <c r="CL7"/>
  <c r="R49" l="1"/>
  <c r="AF22" l="1"/>
  <c r="AG32" l="1"/>
  <c r="AF53" l="1"/>
  <c r="AF44"/>
  <c r="AF42"/>
  <c r="AG42"/>
  <c r="AG38"/>
  <c r="AG33"/>
  <c r="AF32"/>
  <c r="AG30"/>
  <c r="AG29"/>
  <c r="AF29"/>
  <c r="AH22"/>
  <c r="AG22"/>
  <c r="AF20"/>
  <c r="AG18"/>
  <c r="AF16"/>
  <c r="AF10"/>
  <c r="R53"/>
  <c r="O53"/>
  <c r="N53"/>
  <c r="S22"/>
  <c r="S8"/>
  <c r="AG8"/>
  <c r="O8"/>
  <c r="N8"/>
  <c r="O22"/>
  <c r="N22"/>
  <c r="R22"/>
  <c r="N33" l="1"/>
  <c r="O33"/>
  <c r="S33"/>
  <c r="R33"/>
  <c r="BY51" l="1"/>
  <c r="BZ51" l="1"/>
  <c r="R42" l="1"/>
  <c r="O42"/>
  <c r="N42"/>
  <c r="S42"/>
  <c r="O36"/>
  <c r="N36"/>
  <c r="S36"/>
  <c r="O14"/>
  <c r="N14"/>
  <c r="S14"/>
  <c r="S10"/>
  <c r="O10"/>
  <c r="N10"/>
  <c r="R36"/>
  <c r="AF36"/>
  <c r="R14"/>
  <c r="AF14"/>
  <c r="R10"/>
  <c r="AH34" l="1"/>
  <c r="AG34"/>
  <c r="AH16"/>
  <c r="AH256" s="1"/>
  <c r="AG16"/>
  <c r="AF51"/>
  <c r="DQ257" l="1"/>
  <c r="DO257"/>
  <c r="DN257"/>
  <c r="DM257"/>
  <c r="DL257"/>
  <c r="DK257"/>
  <c r="DJ257"/>
  <c r="DI257"/>
  <c r="DH257"/>
  <c r="DG257"/>
  <c r="DF257"/>
  <c r="DE257"/>
  <c r="DD257"/>
  <c r="DC257"/>
  <c r="DB257"/>
  <c r="DA257"/>
  <c r="CZ257"/>
  <c r="CY257"/>
  <c r="CX257"/>
  <c r="CW257"/>
  <c r="CV257"/>
  <c r="CU257"/>
  <c r="CT257"/>
  <c r="CS257"/>
  <c r="CR257"/>
  <c r="CQ257"/>
  <c r="CP257"/>
  <c r="CI257"/>
  <c r="CA257"/>
  <c r="BZ257"/>
  <c r="BY257"/>
  <c r="BX257"/>
  <c r="BW257"/>
  <c r="BV257"/>
  <c r="BU257"/>
  <c r="BT257"/>
  <c r="BS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H257"/>
  <c r="AG257"/>
  <c r="AE257"/>
  <c r="AB257"/>
  <c r="AA257"/>
  <c r="Z257"/>
  <c r="Y257"/>
  <c r="X257"/>
  <c r="W257"/>
  <c r="Q257"/>
  <c r="P257"/>
  <c r="M257"/>
  <c r="L257"/>
  <c r="K257"/>
  <c r="J257"/>
  <c r="BJ8" l="1"/>
  <c r="BK8"/>
  <c r="BL8"/>
  <c r="BM8"/>
  <c r="BN8"/>
  <c r="BO8"/>
  <c r="BP8"/>
  <c r="BQ8"/>
  <c r="BR8"/>
  <c r="BJ9"/>
  <c r="BK9"/>
  <c r="BL9"/>
  <c r="BM9"/>
  <c r="BN9"/>
  <c r="BO9"/>
  <c r="BP9"/>
  <c r="BQ9"/>
  <c r="BR9"/>
  <c r="BJ10"/>
  <c r="BK10"/>
  <c r="BL10"/>
  <c r="BM10"/>
  <c r="BN10"/>
  <c r="BO10"/>
  <c r="BP10"/>
  <c r="BQ10"/>
  <c r="BR10"/>
  <c r="BJ11"/>
  <c r="BK11"/>
  <c r="BL11"/>
  <c r="BM11"/>
  <c r="BN11"/>
  <c r="BO11"/>
  <c r="BP11"/>
  <c r="BQ11"/>
  <c r="BR11"/>
  <c r="BJ12"/>
  <c r="BK12"/>
  <c r="BL12"/>
  <c r="BM12"/>
  <c r="BN12"/>
  <c r="BO12"/>
  <c r="BP12"/>
  <c r="BQ12"/>
  <c r="BR12"/>
  <c r="BJ13"/>
  <c r="BK13"/>
  <c r="BL13"/>
  <c r="BM13"/>
  <c r="BN13"/>
  <c r="BO13"/>
  <c r="BP13"/>
  <c r="BQ13"/>
  <c r="BR13"/>
  <c r="BJ14"/>
  <c r="BL14"/>
  <c r="BM14"/>
  <c r="BN14"/>
  <c r="BO14"/>
  <c r="BP14"/>
  <c r="BQ14"/>
  <c r="BR14"/>
  <c r="BJ15"/>
  <c r="BK15"/>
  <c r="BL15"/>
  <c r="BM15"/>
  <c r="BN15"/>
  <c r="BO15"/>
  <c r="BP15"/>
  <c r="BQ15"/>
  <c r="BR15"/>
  <c r="BJ16"/>
  <c r="BK16"/>
  <c r="BL16"/>
  <c r="BM16"/>
  <c r="BN16"/>
  <c r="BO16"/>
  <c r="BP16"/>
  <c r="BQ16"/>
  <c r="BR16"/>
  <c r="BJ17"/>
  <c r="BK17"/>
  <c r="BL17"/>
  <c r="BM17"/>
  <c r="BN17"/>
  <c r="BO17"/>
  <c r="BP17"/>
  <c r="BQ17"/>
  <c r="BR17"/>
  <c r="BJ18"/>
  <c r="BK18"/>
  <c r="BL18"/>
  <c r="BM18"/>
  <c r="BN18"/>
  <c r="BO18"/>
  <c r="BP18"/>
  <c r="BQ18"/>
  <c r="BR18"/>
  <c r="BJ19"/>
  <c r="BM19"/>
  <c r="BN19"/>
  <c r="BO19"/>
  <c r="BP19"/>
  <c r="BQ19"/>
  <c r="BR19"/>
  <c r="BJ20"/>
  <c r="BK20"/>
  <c r="BL20"/>
  <c r="BM20"/>
  <c r="BN20"/>
  <c r="BO20"/>
  <c r="BP20"/>
  <c r="BQ20"/>
  <c r="BR20"/>
  <c r="BJ21"/>
  <c r="BK21"/>
  <c r="BL21"/>
  <c r="BM21"/>
  <c r="BN21"/>
  <c r="BO21"/>
  <c r="BP21"/>
  <c r="BQ21"/>
  <c r="BR21"/>
  <c r="BJ22"/>
  <c r="BK22"/>
  <c r="BL22"/>
  <c r="BM22"/>
  <c r="BN22"/>
  <c r="BO22"/>
  <c r="BP22"/>
  <c r="BQ22"/>
  <c r="BR22"/>
  <c r="BJ23"/>
  <c r="BK23"/>
  <c r="BL23"/>
  <c r="BM23"/>
  <c r="BN23"/>
  <c r="BO23"/>
  <c r="BP23"/>
  <c r="BQ23"/>
  <c r="BR23"/>
  <c r="BJ24"/>
  <c r="BK24"/>
  <c r="BL24"/>
  <c r="BM24"/>
  <c r="BN24"/>
  <c r="BO24"/>
  <c r="BP24"/>
  <c r="BQ24"/>
  <c r="BR24"/>
  <c r="BJ25"/>
  <c r="BK25"/>
  <c r="BL25"/>
  <c r="BM25"/>
  <c r="BN25"/>
  <c r="BO25"/>
  <c r="BP25"/>
  <c r="BQ25"/>
  <c r="BR25"/>
  <c r="BJ26"/>
  <c r="BK26"/>
  <c r="BL26"/>
  <c r="BM26"/>
  <c r="BN26"/>
  <c r="BO26"/>
  <c r="BP26"/>
  <c r="BQ26"/>
  <c r="BR26"/>
  <c r="BJ27"/>
  <c r="BK27"/>
  <c r="BL27"/>
  <c r="BM27"/>
  <c r="BN27"/>
  <c r="BO27"/>
  <c r="BP27"/>
  <c r="BQ27"/>
  <c r="BR27"/>
  <c r="BJ29"/>
  <c r="BK29"/>
  <c r="BL29"/>
  <c r="BM29"/>
  <c r="BN29"/>
  <c r="BO29"/>
  <c r="BP29"/>
  <c r="BQ29"/>
  <c r="BR29"/>
  <c r="BJ30"/>
  <c r="BK30"/>
  <c r="BL30"/>
  <c r="BM30"/>
  <c r="BN30"/>
  <c r="BO30"/>
  <c r="BP30"/>
  <c r="BQ30"/>
  <c r="BR30"/>
  <c r="BJ31"/>
  <c r="BK31"/>
  <c r="BL31"/>
  <c r="BM31"/>
  <c r="BN31"/>
  <c r="BO31"/>
  <c r="BP31"/>
  <c r="BQ31"/>
  <c r="BR31"/>
  <c r="BJ32"/>
  <c r="BK32"/>
  <c r="BL32"/>
  <c r="BM32"/>
  <c r="BN32"/>
  <c r="BO32"/>
  <c r="BP32"/>
  <c r="BQ32"/>
  <c r="BR32"/>
  <c r="BJ33"/>
  <c r="BK33"/>
  <c r="BL33"/>
  <c r="BM33"/>
  <c r="BN33"/>
  <c r="BO33"/>
  <c r="BP33"/>
  <c r="BQ33"/>
  <c r="BR33"/>
  <c r="BJ34"/>
  <c r="BK34"/>
  <c r="BL34"/>
  <c r="BM34"/>
  <c r="BN34"/>
  <c r="BO34"/>
  <c r="BP34"/>
  <c r="BQ34"/>
  <c r="BR34"/>
  <c r="BJ35"/>
  <c r="BL35"/>
  <c r="BM35"/>
  <c r="BN35"/>
  <c r="BO35"/>
  <c r="BP35"/>
  <c r="BQ35"/>
  <c r="BR35"/>
  <c r="BJ36"/>
  <c r="BK36"/>
  <c r="BL36"/>
  <c r="BM36"/>
  <c r="BN36"/>
  <c r="BO36"/>
  <c r="BP36"/>
  <c r="BQ36"/>
  <c r="BR36"/>
  <c r="BJ37"/>
  <c r="BK37"/>
  <c r="BL37"/>
  <c r="BM37"/>
  <c r="BN37"/>
  <c r="BO37"/>
  <c r="BP37"/>
  <c r="BQ37"/>
  <c r="BR37"/>
  <c r="BJ38"/>
  <c r="BK38"/>
  <c r="BL38"/>
  <c r="BM38"/>
  <c r="BN38"/>
  <c r="BO38"/>
  <c r="BP38"/>
  <c r="BQ38"/>
  <c r="BR38"/>
  <c r="BJ39"/>
  <c r="BK39"/>
  <c r="BL39"/>
  <c r="BM39"/>
  <c r="BN39"/>
  <c r="BO39"/>
  <c r="BP39"/>
  <c r="BQ39"/>
  <c r="BR39"/>
  <c r="BJ40"/>
  <c r="BK40"/>
  <c r="BL40"/>
  <c r="BM40"/>
  <c r="BN40"/>
  <c r="BO40"/>
  <c r="BP40"/>
  <c r="BQ40"/>
  <c r="BR40"/>
  <c r="BJ41"/>
  <c r="BK41"/>
  <c r="BL41"/>
  <c r="BM41"/>
  <c r="BN41"/>
  <c r="BO41"/>
  <c r="BP41"/>
  <c r="BQ41"/>
  <c r="BR41"/>
  <c r="BJ42"/>
  <c r="BK42"/>
  <c r="BL42"/>
  <c r="BM42"/>
  <c r="BN42"/>
  <c r="BO42"/>
  <c r="BP42"/>
  <c r="BQ42"/>
  <c r="BR42"/>
  <c r="BJ43"/>
  <c r="BK43"/>
  <c r="BL43"/>
  <c r="BM43"/>
  <c r="BN43"/>
  <c r="BO43"/>
  <c r="BP43"/>
  <c r="BQ43"/>
  <c r="BR43"/>
  <c r="BJ44"/>
  <c r="BK44"/>
  <c r="BL44"/>
  <c r="BM44"/>
  <c r="BN44"/>
  <c r="BO44"/>
  <c r="BP44"/>
  <c r="BQ44"/>
  <c r="BR44"/>
  <c r="BJ45"/>
  <c r="BK45"/>
  <c r="BL45"/>
  <c r="BM45"/>
  <c r="BP45"/>
  <c r="BQ45"/>
  <c r="BR45"/>
  <c r="BJ46"/>
  <c r="BK46"/>
  <c r="BL46"/>
  <c r="BM46"/>
  <c r="BP46"/>
  <c r="BQ46"/>
  <c r="BR46"/>
  <c r="BJ47"/>
  <c r="BK47"/>
  <c r="BL47"/>
  <c r="BM47"/>
  <c r="BN47"/>
  <c r="BO47"/>
  <c r="BP47"/>
  <c r="BQ47"/>
  <c r="BR47"/>
  <c r="BJ48"/>
  <c r="BK48"/>
  <c r="BL48"/>
  <c r="BM48"/>
  <c r="BO48"/>
  <c r="BP48"/>
  <c r="BQ48"/>
  <c r="BR48"/>
  <c r="BJ49"/>
  <c r="BK49"/>
  <c r="BL49"/>
  <c r="BM49"/>
  <c r="BP49"/>
  <c r="BQ49"/>
  <c r="BR49"/>
  <c r="BJ50"/>
  <c r="BK50"/>
  <c r="BL50"/>
  <c r="BM50"/>
  <c r="BP50"/>
  <c r="BQ50"/>
  <c r="BR50"/>
  <c r="BJ51"/>
  <c r="BL51"/>
  <c r="BM51"/>
  <c r="BN51"/>
  <c r="BO51"/>
  <c r="BP51"/>
  <c r="BQ51"/>
  <c r="BR51"/>
  <c r="BJ52"/>
  <c r="BK52"/>
  <c r="BL52"/>
  <c r="BM52"/>
  <c r="BP52"/>
  <c r="BQ52"/>
  <c r="BR52"/>
  <c r="BJ53"/>
  <c r="BL53"/>
  <c r="BM53"/>
  <c r="BN53"/>
  <c r="BO53"/>
  <c r="BP53"/>
  <c r="BQ53"/>
  <c r="BR53"/>
  <c r="BR7"/>
  <c r="BQ7"/>
  <c r="BP7"/>
  <c r="BO7"/>
  <c r="BN7"/>
  <c r="BM7"/>
  <c r="BL7"/>
  <c r="BK7"/>
  <c r="BJ7"/>
  <c r="BR256" l="1"/>
  <c r="BN256"/>
  <c r="BJ256"/>
  <c r="BQ256"/>
  <c r="BM256"/>
  <c r="BP256"/>
  <c r="BO256"/>
  <c r="BM257"/>
  <c r="BR257"/>
  <c r="BL257"/>
  <c r="BQ257"/>
  <c r="BK257"/>
  <c r="BP257"/>
  <c r="BJ25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5"/>
  <c r="CK15"/>
  <c r="CL15"/>
  <c r="CJ16"/>
  <c r="CK16"/>
  <c r="CL16"/>
  <c r="CJ17"/>
  <c r="CK17"/>
  <c r="CL17"/>
  <c r="CJ18"/>
  <c r="CK18"/>
  <c r="CL18"/>
  <c r="CJ20"/>
  <c r="CK20"/>
  <c r="CL20"/>
  <c r="CJ21"/>
  <c r="CK21"/>
  <c r="CL21"/>
  <c r="CJ22"/>
  <c r="CK22"/>
  <c r="CL22"/>
  <c r="CJ23"/>
  <c r="CK23"/>
  <c r="CL23"/>
  <c r="CJ24"/>
  <c r="CK24"/>
  <c r="CL24"/>
  <c r="CJ25"/>
  <c r="CK25"/>
  <c r="CL25"/>
  <c r="CJ26"/>
  <c r="CK26"/>
  <c r="CL26"/>
  <c r="CJ27"/>
  <c r="CK27"/>
  <c r="CL27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J43"/>
  <c r="CK43"/>
  <c r="CL43"/>
  <c r="CJ44"/>
  <c r="CK44"/>
  <c r="CL44"/>
  <c r="CJ47"/>
  <c r="CK47"/>
  <c r="CL47"/>
  <c r="CK7"/>
  <c r="CJ7"/>
  <c r="V53" l="1"/>
  <c r="AF38" l="1"/>
  <c r="AG35"/>
  <c r="AF35"/>
  <c r="AG31"/>
  <c r="AF31"/>
  <c r="AF30"/>
  <c r="AF19"/>
  <c r="AG19"/>
  <c r="AG256" s="1"/>
  <c r="R51" l="1"/>
  <c r="O51"/>
  <c r="N51"/>
  <c r="S50"/>
  <c r="BO50" s="1"/>
  <c r="AF50"/>
  <c r="R50"/>
  <c r="O50"/>
  <c r="N50"/>
  <c r="S49"/>
  <c r="BO49" s="1"/>
  <c r="AF49"/>
  <c r="O49"/>
  <c r="N49"/>
  <c r="S46"/>
  <c r="BO46" s="1"/>
  <c r="AF46"/>
  <c r="R46"/>
  <c r="O46"/>
  <c r="N46"/>
  <c r="S45"/>
  <c r="AF45"/>
  <c r="R45"/>
  <c r="O45"/>
  <c r="N45"/>
  <c r="BO45" l="1"/>
  <c r="BN45"/>
  <c r="CJ45"/>
  <c r="CK45"/>
  <c r="CL45"/>
  <c r="BK51"/>
  <c r="CK51"/>
  <c r="CL51"/>
  <c r="CJ51"/>
  <c r="BN46"/>
  <c r="CJ46"/>
  <c r="CK46"/>
  <c r="CL46"/>
  <c r="BN49"/>
  <c r="CJ49"/>
  <c r="CK49"/>
  <c r="CL49"/>
  <c r="BN50"/>
  <c r="CJ50"/>
  <c r="CK50"/>
  <c r="CL50"/>
  <c r="DQ258"/>
  <c r="DO258"/>
  <c r="DN258"/>
  <c r="DM258"/>
  <c r="DL258"/>
  <c r="DK258"/>
  <c r="DJ258"/>
  <c r="DI258"/>
  <c r="DH258"/>
  <c r="DG258"/>
  <c r="DF258"/>
  <c r="DE258"/>
  <c r="DD258"/>
  <c r="DC258"/>
  <c r="DB258"/>
  <c r="DA258"/>
  <c r="CZ258"/>
  <c r="CY258"/>
  <c r="CX258"/>
  <c r="CW258"/>
  <c r="CV258"/>
  <c r="CU258"/>
  <c r="CT258"/>
  <c r="CS258"/>
  <c r="CR258"/>
  <c r="CQ258"/>
  <c r="CP258"/>
  <c r="DQ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Q255"/>
  <c r="CP255"/>
  <c r="DQ254"/>
  <c r="DO254"/>
  <c r="DN254"/>
  <c r="DM254"/>
  <c r="DL254"/>
  <c r="DK254"/>
  <c r="DJ254"/>
  <c r="DI254"/>
  <c r="DH254"/>
  <c r="DG254"/>
  <c r="DF254"/>
  <c r="DE254"/>
  <c r="DD254"/>
  <c r="DC254"/>
  <c r="DB254"/>
  <c r="DA254"/>
  <c r="CZ254"/>
  <c r="CY254"/>
  <c r="CX254"/>
  <c r="CW254"/>
  <c r="CV254"/>
  <c r="CU254"/>
  <c r="CT254"/>
  <c r="CS254"/>
  <c r="CR254"/>
  <c r="CQ254"/>
  <c r="CP254"/>
  <c r="DQ253"/>
  <c r="DO253"/>
  <c r="DN253"/>
  <c r="DM253"/>
  <c r="DL253"/>
  <c r="DK253"/>
  <c r="DJ253"/>
  <c r="DI253"/>
  <c r="DH253"/>
  <c r="DG253"/>
  <c r="DF253"/>
  <c r="DE253"/>
  <c r="DD253"/>
  <c r="DC253"/>
  <c r="DB253"/>
  <c r="DA253"/>
  <c r="CZ253"/>
  <c r="CY253"/>
  <c r="CX253"/>
  <c r="CW253"/>
  <c r="CV253"/>
  <c r="CU253"/>
  <c r="CT253"/>
  <c r="CS253"/>
  <c r="CR253"/>
  <c r="CQ253"/>
  <c r="CP253"/>
  <c r="DQ252"/>
  <c r="DO252"/>
  <c r="DN252"/>
  <c r="DM252"/>
  <c r="DL252"/>
  <c r="DK252"/>
  <c r="DJ252"/>
  <c r="DI252"/>
  <c r="DH252"/>
  <c r="DG252"/>
  <c r="DF252"/>
  <c r="DE252"/>
  <c r="DD252"/>
  <c r="DC252"/>
  <c r="DB252"/>
  <c r="DA252"/>
  <c r="CZ252"/>
  <c r="CY252"/>
  <c r="CX252"/>
  <c r="CW252"/>
  <c r="CV252"/>
  <c r="CU252"/>
  <c r="CT252"/>
  <c r="CS252"/>
  <c r="CR252"/>
  <c r="CQ252"/>
  <c r="CP252"/>
  <c r="CI258"/>
  <c r="CA258"/>
  <c r="BZ258"/>
  <c r="BY258"/>
  <c r="BW258"/>
  <c r="BV258"/>
  <c r="BU258"/>
  <c r="BT258"/>
  <c r="BS258"/>
  <c r="BR258"/>
  <c r="BQ258"/>
  <c r="BP258"/>
  <c r="BO258"/>
  <c r="BN258"/>
  <c r="BM258"/>
  <c r="BI258"/>
  <c r="AX258"/>
  <c r="AV258"/>
  <c r="AQ258"/>
  <c r="AN258"/>
  <c r="AK258"/>
  <c r="AJ258"/>
  <c r="AH258"/>
  <c r="AE258"/>
  <c r="AB258"/>
  <c r="AA258"/>
  <c r="Z258"/>
  <c r="Y258"/>
  <c r="X258"/>
  <c r="W258"/>
  <c r="Q258"/>
  <c r="P258"/>
  <c r="M258"/>
  <c r="CI255"/>
  <c r="CA255"/>
  <c r="BZ255"/>
  <c r="BY255"/>
  <c r="BW255"/>
  <c r="BV255"/>
  <c r="BT255"/>
  <c r="BS255"/>
  <c r="BR255"/>
  <c r="BQ255"/>
  <c r="BP255"/>
  <c r="BO255"/>
  <c r="BN255"/>
  <c r="BM255"/>
  <c r="BF255"/>
  <c r="BB255"/>
  <c r="AX255"/>
  <c r="AV255"/>
  <c r="AQ255"/>
  <c r="AN255"/>
  <c r="AJ255"/>
  <c r="AH255"/>
  <c r="AG255"/>
  <c r="AF255"/>
  <c r="AE255"/>
  <c r="AB255"/>
  <c r="AA255"/>
  <c r="Z255"/>
  <c r="Y255"/>
  <c r="X255"/>
  <c r="W255"/>
  <c r="S255"/>
  <c r="R255"/>
  <c r="Q255"/>
  <c r="P255"/>
  <c r="O255"/>
  <c r="N255"/>
  <c r="L255"/>
  <c r="CI254"/>
  <c r="BZ254"/>
  <c r="BY254"/>
  <c r="BX254"/>
  <c r="BW254"/>
  <c r="BV254"/>
  <c r="BU254"/>
  <c r="BT254"/>
  <c r="BS254"/>
  <c r="BL254"/>
  <c r="BK254"/>
  <c r="BJ254"/>
  <c r="BF254"/>
  <c r="AN254"/>
  <c r="AJ254"/>
  <c r="AH254"/>
  <c r="AG254"/>
  <c r="AF254"/>
  <c r="AE254"/>
  <c r="AB254"/>
  <c r="AA254"/>
  <c r="Z254"/>
  <c r="Y254"/>
  <c r="X254"/>
  <c r="W254"/>
  <c r="S254"/>
  <c r="R254"/>
  <c r="Q254"/>
  <c r="P254"/>
  <c r="O254"/>
  <c r="N254"/>
  <c r="L254"/>
  <c r="CI253"/>
  <c r="CA253"/>
  <c r="BZ253"/>
  <c r="BY253"/>
  <c r="BX253"/>
  <c r="BW253"/>
  <c r="BV253"/>
  <c r="BT253"/>
  <c r="BS253"/>
  <c r="BR253"/>
  <c r="BQ253"/>
  <c r="BP253"/>
  <c r="BL253"/>
  <c r="BK253"/>
  <c r="BJ253"/>
  <c r="BI253"/>
  <c r="BH253"/>
  <c r="BG253"/>
  <c r="BF253"/>
  <c r="BE253"/>
  <c r="BD253"/>
  <c r="BC253"/>
  <c r="BB253"/>
  <c r="BA253"/>
  <c r="AZ253"/>
  <c r="AY253"/>
  <c r="AX253"/>
  <c r="AW253"/>
  <c r="AV253"/>
  <c r="AT253"/>
  <c r="AS253"/>
  <c r="AR253"/>
  <c r="AQ253"/>
  <c r="AP253"/>
  <c r="AO253"/>
  <c r="AN253"/>
  <c r="AM253"/>
  <c r="AL253"/>
  <c r="AK253"/>
  <c r="AJ253"/>
  <c r="AH253"/>
  <c r="AG253"/>
  <c r="AF253"/>
  <c r="AE253"/>
  <c r="AB253"/>
  <c r="AA253"/>
  <c r="Z253"/>
  <c r="Y253"/>
  <c r="X253"/>
  <c r="W253"/>
  <c r="S253"/>
  <c r="R253"/>
  <c r="Q253"/>
  <c r="P253"/>
  <c r="O253"/>
  <c r="N253"/>
  <c r="M253"/>
  <c r="L253"/>
  <c r="K253"/>
  <c r="J253"/>
  <c r="CI252"/>
  <c r="CA252"/>
  <c r="BZ252"/>
  <c r="BY252"/>
  <c r="BW252"/>
  <c r="BV252"/>
  <c r="BT252"/>
  <c r="BS252"/>
  <c r="BR252"/>
  <c r="BQ252"/>
  <c r="BP252"/>
  <c r="BO252"/>
  <c r="BN252"/>
  <c r="BM252"/>
  <c r="BI252"/>
  <c r="BH252"/>
  <c r="BG252"/>
  <c r="BF252"/>
  <c r="BE252"/>
  <c r="BD252"/>
  <c r="BC252"/>
  <c r="BB252"/>
  <c r="BA252"/>
  <c r="AZ252"/>
  <c r="AY252"/>
  <c r="AX252"/>
  <c r="AW252"/>
  <c r="AV252"/>
  <c r="AT252"/>
  <c r="AS252"/>
  <c r="AR252"/>
  <c r="AQ252"/>
  <c r="AP252"/>
  <c r="AO252"/>
  <c r="AN252"/>
  <c r="AM252"/>
  <c r="AL252"/>
  <c r="AK252"/>
  <c r="AJ252"/>
  <c r="AH252"/>
  <c r="AG252"/>
  <c r="AF252"/>
  <c r="AE252"/>
  <c r="AB252"/>
  <c r="AA252"/>
  <c r="Z252"/>
  <c r="Y252"/>
  <c r="X252"/>
  <c r="W252"/>
  <c r="S252"/>
  <c r="R252"/>
  <c r="Q252"/>
  <c r="P252"/>
  <c r="O252"/>
  <c r="N252"/>
  <c r="M252"/>
  <c r="L252"/>
  <c r="K252"/>
  <c r="J252"/>
  <c r="BT250" l="1"/>
  <c r="CQ250"/>
  <c r="CU250"/>
  <c r="CY250"/>
  <c r="DC250"/>
  <c r="DG250"/>
  <c r="DK250"/>
  <c r="DO250"/>
  <c r="CP250"/>
  <c r="CT250"/>
  <c r="DF250"/>
  <c r="DJ250"/>
  <c r="P250"/>
  <c r="Q250"/>
  <c r="AB250"/>
  <c r="Y250"/>
  <c r="AJ250"/>
  <c r="AN250"/>
  <c r="CX250"/>
  <c r="DN250"/>
  <c r="DB250"/>
  <c r="W250"/>
  <c r="AA250"/>
  <c r="BW250"/>
  <c r="CI250"/>
  <c r="X250"/>
  <c r="CR250"/>
  <c r="CV250"/>
  <c r="CZ250"/>
  <c r="DD250"/>
  <c r="DH250"/>
  <c r="DL250"/>
  <c r="DQ250"/>
  <c r="CS250"/>
  <c r="CW250"/>
  <c r="DA250"/>
  <c r="DE250"/>
  <c r="DI250"/>
  <c r="DM250"/>
  <c r="BY250"/>
  <c r="AH250"/>
  <c r="BS250"/>
  <c r="AE250"/>
  <c r="BZ250"/>
  <c r="Z250"/>
  <c r="BV250"/>
  <c r="DQ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AH248"/>
  <c r="AJ248"/>
  <c r="AN248"/>
  <c r="DP53"/>
  <c r="DP52"/>
  <c r="DP51"/>
  <c r="DP50"/>
  <c r="DP49"/>
  <c r="DP48"/>
  <c r="DP47"/>
  <c r="DP46"/>
  <c r="DP45"/>
  <c r="DP44"/>
  <c r="DP43"/>
  <c r="DP42"/>
  <c r="DP41"/>
  <c r="DP255" s="1"/>
  <c r="DP40"/>
  <c r="DP39"/>
  <c r="DP38"/>
  <c r="DP37"/>
  <c r="DP36"/>
  <c r="DP35"/>
  <c r="DP34"/>
  <c r="DP33"/>
  <c r="DP32"/>
  <c r="DP31"/>
  <c r="DP30"/>
  <c r="DP29"/>
  <c r="DP27"/>
  <c r="DP26"/>
  <c r="DP25"/>
  <c r="DP24"/>
  <c r="DP23"/>
  <c r="DP22"/>
  <c r="DP21"/>
  <c r="DP20"/>
  <c r="DP19"/>
  <c r="DP18"/>
  <c r="DP17"/>
  <c r="DP16"/>
  <c r="DP15"/>
  <c r="DP14"/>
  <c r="DP13"/>
  <c r="DP12"/>
  <c r="DP11"/>
  <c r="DP10"/>
  <c r="DP9"/>
  <c r="DP253" s="1"/>
  <c r="DP8"/>
  <c r="DP7"/>
  <c r="DP256" l="1"/>
  <c r="DP257"/>
  <c r="DP252"/>
  <c r="DP254"/>
  <c r="DP258"/>
  <c r="DP248"/>
  <c r="AF258"/>
  <c r="S258"/>
  <c r="O258"/>
  <c r="N258"/>
  <c r="AF52"/>
  <c r="S52"/>
  <c r="R52"/>
  <c r="O52"/>
  <c r="N52"/>
  <c r="S19"/>
  <c r="S256" s="1"/>
  <c r="R19"/>
  <c r="O19"/>
  <c r="N19"/>
  <c r="BO52" l="1"/>
  <c r="BO257" s="1"/>
  <c r="S257"/>
  <c r="BK19"/>
  <c r="CK19"/>
  <c r="CL19"/>
  <c r="CJ19"/>
  <c r="BN52"/>
  <c r="CL52"/>
  <c r="CJ52"/>
  <c r="CK52"/>
  <c r="BL19"/>
  <c r="BL256" s="1"/>
  <c r="R258"/>
  <c r="BK53"/>
  <c r="CJ53"/>
  <c r="CK53"/>
  <c r="CL53"/>
  <c r="DP250"/>
  <c r="U53"/>
  <c r="T53"/>
  <c r="V52"/>
  <c r="U52"/>
  <c r="T52"/>
  <c r="V51"/>
  <c r="U51"/>
  <c r="T51"/>
  <c r="V50"/>
  <c r="U50"/>
  <c r="T50"/>
  <c r="V49"/>
  <c r="U49"/>
  <c r="T49"/>
  <c r="V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V255" s="1"/>
  <c r="U41"/>
  <c r="U255" s="1"/>
  <c r="T41"/>
  <c r="T255" s="1"/>
  <c r="V40"/>
  <c r="U40"/>
  <c r="T40"/>
  <c r="V39"/>
  <c r="U39"/>
  <c r="T39"/>
  <c r="V38"/>
  <c r="U38"/>
  <c r="T38"/>
  <c r="V37"/>
  <c r="U37"/>
  <c r="T37"/>
  <c r="V36"/>
  <c r="U36"/>
  <c r="T36"/>
  <c r="V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7"/>
  <c r="U27"/>
  <c r="T27"/>
  <c r="V26"/>
  <c r="U26"/>
  <c r="T26"/>
  <c r="V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V13"/>
  <c r="U13"/>
  <c r="T13"/>
  <c r="V12"/>
  <c r="U12"/>
  <c r="T12"/>
  <c r="V11"/>
  <c r="U11"/>
  <c r="T11"/>
  <c r="V10"/>
  <c r="U10"/>
  <c r="T10"/>
  <c r="V9"/>
  <c r="V253" s="1"/>
  <c r="U9"/>
  <c r="U253" s="1"/>
  <c r="T9"/>
  <c r="T253" s="1"/>
  <c r="V8"/>
  <c r="U8"/>
  <c r="T8"/>
  <c r="V7"/>
  <c r="U7"/>
  <c r="T7"/>
  <c r="V256" l="1"/>
  <c r="V257"/>
  <c r="S250"/>
  <c r="T252"/>
  <c r="T258"/>
  <c r="T254"/>
  <c r="U254"/>
  <c r="V252"/>
  <c r="U258"/>
  <c r="U252"/>
  <c r="V254"/>
  <c r="V258"/>
  <c r="AG53"/>
  <c r="AG258" s="1"/>
  <c r="V250" l="1"/>
  <c r="AB248"/>
  <c r="AF33" l="1"/>
  <c r="AF256" s="1"/>
  <c r="AG250" l="1"/>
  <c r="AF48"/>
  <c r="AF257" s="1"/>
  <c r="R48"/>
  <c r="R257" s="1"/>
  <c r="O48"/>
  <c r="O257" s="1"/>
  <c r="N48"/>
  <c r="N257" s="1"/>
  <c r="BN48" l="1"/>
  <c r="BN257" s="1"/>
  <c r="CL48"/>
  <c r="CJ48"/>
  <c r="CJ257" s="1"/>
  <c r="CK48"/>
  <c r="CK257" s="1"/>
  <c r="U48"/>
  <c r="U257" s="1"/>
  <c r="T48"/>
  <c r="T257" s="1"/>
  <c r="Z248" l="1"/>
  <c r="AA248"/>
  <c r="CJ253" l="1"/>
  <c r="CK253"/>
  <c r="CJ255"/>
  <c r="CK255"/>
  <c r="CJ252"/>
  <c r="CK252" l="1"/>
  <c r="CJ258"/>
  <c r="CK258"/>
  <c r="CJ254"/>
  <c r="CK254"/>
  <c r="R35"/>
  <c r="R256" s="1"/>
  <c r="O35"/>
  <c r="O256" s="1"/>
  <c r="N35"/>
  <c r="T35" l="1"/>
  <c r="N256"/>
  <c r="N250" s="1"/>
  <c r="U35"/>
  <c r="BK35"/>
  <c r="CK35"/>
  <c r="CL35"/>
  <c r="CJ35"/>
  <c r="O250"/>
  <c r="AF250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7"/>
  <c r="AD26"/>
  <c r="AD25"/>
  <c r="AD24"/>
  <c r="AD23"/>
  <c r="AD22"/>
  <c r="AD21"/>
  <c r="AD20"/>
  <c r="AD19"/>
  <c r="AD18"/>
  <c r="AD17"/>
  <c r="AD16"/>
  <c r="AD15"/>
  <c r="AD13"/>
  <c r="AD12"/>
  <c r="AD11"/>
  <c r="AD10"/>
  <c r="AD9"/>
  <c r="AD8"/>
  <c r="AD7"/>
  <c r="AD257" l="1"/>
  <c r="R250"/>
  <c r="BK14"/>
  <c r="BK256" s="1"/>
  <c r="CJ14"/>
  <c r="CJ256" s="1"/>
  <c r="CK14"/>
  <c r="CL14"/>
  <c r="AD253"/>
  <c r="AC13"/>
  <c r="AC18"/>
  <c r="AC22"/>
  <c r="AC25"/>
  <c r="AC30"/>
  <c r="AC34"/>
  <c r="AC38"/>
  <c r="AC42"/>
  <c r="AC49"/>
  <c r="AC53"/>
  <c r="AC10"/>
  <c r="AC15"/>
  <c r="AC19"/>
  <c r="AC23"/>
  <c r="AC26"/>
  <c r="AC31"/>
  <c r="AC35"/>
  <c r="AC39"/>
  <c r="AC43"/>
  <c r="AC50"/>
  <c r="AC11"/>
  <c r="AC16"/>
  <c r="AC20"/>
  <c r="AC27"/>
  <c r="AC32"/>
  <c r="AC36"/>
  <c r="AC40"/>
  <c r="AC44"/>
  <c r="AC51"/>
  <c r="AC12"/>
  <c r="AI12" s="1"/>
  <c r="CN12" s="1"/>
  <c r="AC17"/>
  <c r="AC21"/>
  <c r="AC24"/>
  <c r="AC29"/>
  <c r="AC33"/>
  <c r="AD255"/>
  <c r="AC48"/>
  <c r="AC52"/>
  <c r="AD258"/>
  <c r="AD252"/>
  <c r="AD254"/>
  <c r="U14"/>
  <c r="U256" s="1"/>
  <c r="T14"/>
  <c r="T256" s="1"/>
  <c r="AD14"/>
  <c r="AD256" s="1"/>
  <c r="AC9"/>
  <c r="AC253" s="1"/>
  <c r="AC46"/>
  <c r="AC7"/>
  <c r="AC47"/>
  <c r="AC8"/>
  <c r="AC37"/>
  <c r="AC41"/>
  <c r="AC255" s="1"/>
  <c r="AC45"/>
  <c r="CK256" l="1"/>
  <c r="CK250" s="1"/>
  <c r="AI11"/>
  <c r="CM11" s="1"/>
  <c r="T250"/>
  <c r="U250"/>
  <c r="CJ250"/>
  <c r="AC257"/>
  <c r="CO12"/>
  <c r="CM12"/>
  <c r="CO11"/>
  <c r="AC252"/>
  <c r="AC254"/>
  <c r="AC258"/>
  <c r="AC14"/>
  <c r="AC256" s="1"/>
  <c r="AD250"/>
  <c r="CK248"/>
  <c r="CJ248"/>
  <c r="BH47"/>
  <c r="BH258" s="1"/>
  <c r="BG47"/>
  <c r="BG258" s="1"/>
  <c r="BF47"/>
  <c r="BF258" s="1"/>
  <c r="BF250" s="1"/>
  <c r="BE47"/>
  <c r="BE258" s="1"/>
  <c r="BD47"/>
  <c r="BD258" s="1"/>
  <c r="BC47"/>
  <c r="BC258" s="1"/>
  <c r="BB47"/>
  <c r="BB258" s="1"/>
  <c r="BA47"/>
  <c r="BA258" s="1"/>
  <c r="AZ47"/>
  <c r="AZ258" s="1"/>
  <c r="AY47"/>
  <c r="AY258" s="1"/>
  <c r="AW47"/>
  <c r="AW258" s="1"/>
  <c r="AU47"/>
  <c r="AU258" s="1"/>
  <c r="AT47"/>
  <c r="AT258" s="1"/>
  <c r="AS47"/>
  <c r="AS258" s="1"/>
  <c r="AR47"/>
  <c r="AR258" s="1"/>
  <c r="AP47"/>
  <c r="AP258" s="1"/>
  <c r="AL47"/>
  <c r="AL258" s="1"/>
  <c r="L47"/>
  <c r="L258" s="1"/>
  <c r="L250" s="1"/>
  <c r="J47"/>
  <c r="J258" s="1"/>
  <c r="CN11" l="1"/>
  <c r="AC250"/>
  <c r="BF248"/>
  <c r="BU44"/>
  <c r="BU43"/>
  <c r="BU42"/>
  <c r="BU38"/>
  <c r="BU37"/>
  <c r="BU35"/>
  <c r="BU34"/>
  <c r="BU33"/>
  <c r="BU32"/>
  <c r="BU31"/>
  <c r="BU30"/>
  <c r="BU29"/>
  <c r="BU24"/>
  <c r="BU22"/>
  <c r="BU19"/>
  <c r="BU18"/>
  <c r="BU16"/>
  <c r="BU14"/>
  <c r="BU11"/>
  <c r="BU9"/>
  <c r="BU253" s="1"/>
  <c r="BU7"/>
  <c r="BU256" l="1"/>
  <c r="BU252"/>
  <c r="CA10"/>
  <c r="CB8"/>
  <c r="CB9"/>
  <c r="CB253" s="1"/>
  <c r="CB11"/>
  <c r="CB12"/>
  <c r="CB13"/>
  <c r="CB14"/>
  <c r="CB15"/>
  <c r="CB16"/>
  <c r="CB17"/>
  <c r="CB18"/>
  <c r="CB19"/>
  <c r="CB20"/>
  <c r="CB22"/>
  <c r="CB23"/>
  <c r="CB24"/>
  <c r="CB25"/>
  <c r="CB27"/>
  <c r="CB29"/>
  <c r="CB30"/>
  <c r="CB31"/>
  <c r="CB32"/>
  <c r="CB33"/>
  <c r="CB34"/>
  <c r="CB35"/>
  <c r="CB37"/>
  <c r="CB38"/>
  <c r="CB39"/>
  <c r="CB42"/>
  <c r="CB43"/>
  <c r="CB44"/>
  <c r="CB45"/>
  <c r="CB46"/>
  <c r="CB48"/>
  <c r="CB49"/>
  <c r="CB50"/>
  <c r="CB51"/>
  <c r="CB52"/>
  <c r="CB53"/>
  <c r="CB7"/>
  <c r="CB256" s="1"/>
  <c r="CB257" l="1"/>
  <c r="CB252"/>
  <c r="CA21"/>
  <c r="CA248" s="1"/>
  <c r="CA254" l="1"/>
  <c r="CA250" s="1"/>
  <c r="CD46"/>
  <c r="CF46"/>
  <c r="CD47"/>
  <c r="CD48"/>
  <c r="CC48" s="1"/>
  <c r="CF48"/>
  <c r="CE48" s="1"/>
  <c r="CD49"/>
  <c r="CC49" s="1"/>
  <c r="CF49"/>
  <c r="CE49" s="1"/>
  <c r="CD50"/>
  <c r="CC50" s="1"/>
  <c r="CF50"/>
  <c r="CE50" s="1"/>
  <c r="CD51"/>
  <c r="CC51" s="1"/>
  <c r="CF51"/>
  <c r="CE51" s="1"/>
  <c r="CD52"/>
  <c r="CC52" s="1"/>
  <c r="CF52"/>
  <c r="CE52" s="1"/>
  <c r="CD53"/>
  <c r="CC53" s="1"/>
  <c r="CF53"/>
  <c r="CE53" s="1"/>
  <c r="CD8"/>
  <c r="CF8"/>
  <c r="CD9"/>
  <c r="CD253" s="1"/>
  <c r="CF9"/>
  <c r="CF253" s="1"/>
  <c r="CF10"/>
  <c r="CE10" s="1"/>
  <c r="CD11"/>
  <c r="CC11" s="1"/>
  <c r="CF11"/>
  <c r="CE11" s="1"/>
  <c r="CD12"/>
  <c r="CC12" s="1"/>
  <c r="CF12"/>
  <c r="CE12" s="1"/>
  <c r="CD13"/>
  <c r="CC13" s="1"/>
  <c r="CF13"/>
  <c r="CE13" s="1"/>
  <c r="CD14"/>
  <c r="CC14" s="1"/>
  <c r="CF14"/>
  <c r="CE14" s="1"/>
  <c r="CD15"/>
  <c r="CC15" s="1"/>
  <c r="CF15"/>
  <c r="CE15" s="1"/>
  <c r="CD16"/>
  <c r="CC16" s="1"/>
  <c r="CF16"/>
  <c r="CE16" s="1"/>
  <c r="CD17"/>
  <c r="CC17" s="1"/>
  <c r="CF17"/>
  <c r="CE17" s="1"/>
  <c r="CD18"/>
  <c r="CC18" s="1"/>
  <c r="CF18"/>
  <c r="CE18" s="1"/>
  <c r="CD19"/>
  <c r="CC19" s="1"/>
  <c r="CD20"/>
  <c r="CC20" s="1"/>
  <c r="CF20"/>
  <c r="CE20" s="1"/>
  <c r="CF21"/>
  <c r="CE21" s="1"/>
  <c r="CD22"/>
  <c r="CC22" s="1"/>
  <c r="CF22"/>
  <c r="CE22" s="1"/>
  <c r="CD23"/>
  <c r="CF23"/>
  <c r="CE23" s="1"/>
  <c r="CD24"/>
  <c r="CC24" s="1"/>
  <c r="CF24"/>
  <c r="CE24" s="1"/>
  <c r="CD25"/>
  <c r="CC25" s="1"/>
  <c r="CF25"/>
  <c r="CE25" s="1"/>
  <c r="CF26"/>
  <c r="CE26" s="1"/>
  <c r="CD27"/>
  <c r="CC27" s="1"/>
  <c r="CF27"/>
  <c r="CE27" s="1"/>
  <c r="CD29"/>
  <c r="CC29" s="1"/>
  <c r="CF29"/>
  <c r="CE29" s="1"/>
  <c r="CD30"/>
  <c r="CC30" s="1"/>
  <c r="CF30"/>
  <c r="CE30" s="1"/>
  <c r="CD31"/>
  <c r="CC31" s="1"/>
  <c r="CF31"/>
  <c r="CE31" s="1"/>
  <c r="CD32"/>
  <c r="CC32" s="1"/>
  <c r="CF32"/>
  <c r="CE32" s="1"/>
  <c r="CD33"/>
  <c r="CC33" s="1"/>
  <c r="CD34"/>
  <c r="CC34" s="1"/>
  <c r="CF34"/>
  <c r="CE34" s="1"/>
  <c r="CD35"/>
  <c r="CC35" s="1"/>
  <c r="CF35"/>
  <c r="CE35" s="1"/>
  <c r="CD36"/>
  <c r="CC36" s="1"/>
  <c r="CD37"/>
  <c r="CF37"/>
  <c r="CD38"/>
  <c r="CC38" s="1"/>
  <c r="CF38"/>
  <c r="CE38" s="1"/>
  <c r="CD39"/>
  <c r="CC39" s="1"/>
  <c r="CF39"/>
  <c r="CE39" s="1"/>
  <c r="CD40"/>
  <c r="CC40" s="1"/>
  <c r="CD41"/>
  <c r="CD255" s="1"/>
  <c r="CD42"/>
  <c r="CC42" s="1"/>
  <c r="CF42"/>
  <c r="CE42" s="1"/>
  <c r="CD43"/>
  <c r="CC43" s="1"/>
  <c r="CF43"/>
  <c r="CE43" s="1"/>
  <c r="CD44"/>
  <c r="CC44" s="1"/>
  <c r="CF44"/>
  <c r="CE44" s="1"/>
  <c r="CD45"/>
  <c r="CF45"/>
  <c r="CF7"/>
  <c r="CD7"/>
  <c r="BY248"/>
  <c r="BZ248"/>
  <c r="CD256" l="1"/>
  <c r="CF257"/>
  <c r="CD257"/>
  <c r="CD258"/>
  <c r="CF252"/>
  <c r="CD252"/>
  <c r="CC45"/>
  <c r="CC9"/>
  <c r="CC253" s="1"/>
  <c r="CE46"/>
  <c r="CE37"/>
  <c r="CE252" s="1"/>
  <c r="CE8"/>
  <c r="CC46"/>
  <c r="CC37"/>
  <c r="CC252" s="1"/>
  <c r="CC8"/>
  <c r="CE45"/>
  <c r="CC41"/>
  <c r="CC255" s="1"/>
  <c r="CE9"/>
  <c r="CE253" s="1"/>
  <c r="CC47"/>
  <c r="CC258" s="1"/>
  <c r="CH45"/>
  <c r="CH51"/>
  <c r="CH30"/>
  <c r="CH12"/>
  <c r="CH16"/>
  <c r="CH42"/>
  <c r="CH9"/>
  <c r="CH253" s="1"/>
  <c r="CH38"/>
  <c r="CH52"/>
  <c r="CH48"/>
  <c r="CH44"/>
  <c r="CH34"/>
  <c r="CH32"/>
  <c r="CH27"/>
  <c r="CH25"/>
  <c r="CH22"/>
  <c r="CH20"/>
  <c r="CH18"/>
  <c r="CH14"/>
  <c r="CH8"/>
  <c r="CH50"/>
  <c r="CH46"/>
  <c r="CH43"/>
  <c r="CH39"/>
  <c r="CH31"/>
  <c r="CH24"/>
  <c r="CH17"/>
  <c r="CH13"/>
  <c r="CH53"/>
  <c r="CH49"/>
  <c r="CH37"/>
  <c r="CH35"/>
  <c r="CH29"/>
  <c r="CH23"/>
  <c r="CH15"/>
  <c r="CH11"/>
  <c r="CH7"/>
  <c r="CC7"/>
  <c r="CC256" s="1"/>
  <c r="CE7"/>
  <c r="CG53"/>
  <c r="CG52"/>
  <c r="CG51"/>
  <c r="CG50"/>
  <c r="CG49"/>
  <c r="CG48"/>
  <c r="CG44"/>
  <c r="CG43"/>
  <c r="CG42"/>
  <c r="CG39"/>
  <c r="CG38"/>
  <c r="CG35"/>
  <c r="CG34"/>
  <c r="CG32"/>
  <c r="CG31"/>
  <c r="CG30"/>
  <c r="CG29"/>
  <c r="CG27"/>
  <c r="CG25"/>
  <c r="CG24"/>
  <c r="CG23"/>
  <c r="CG22"/>
  <c r="CG20"/>
  <c r="CG18"/>
  <c r="CG17"/>
  <c r="CG16"/>
  <c r="CG15"/>
  <c r="CG14"/>
  <c r="CG13"/>
  <c r="CG12"/>
  <c r="CG11"/>
  <c r="CC257" l="1"/>
  <c r="CH257"/>
  <c r="CE257"/>
  <c r="CH252"/>
  <c r="CG8"/>
  <c r="CG9"/>
  <c r="CG253" s="1"/>
  <c r="CG45"/>
  <c r="CG37"/>
  <c r="CG252" s="1"/>
  <c r="CG46"/>
  <c r="CG7"/>
  <c r="G255"/>
  <c r="G254"/>
  <c r="G258"/>
  <c r="BX53"/>
  <c r="AI52"/>
  <c r="BX51"/>
  <c r="AI51"/>
  <c r="AI50"/>
  <c r="AI49"/>
  <c r="AI48"/>
  <c r="AO47"/>
  <c r="AO258" s="1"/>
  <c r="AM47"/>
  <c r="AM258" s="1"/>
  <c r="K47"/>
  <c r="K258" s="1"/>
  <c r="AI46"/>
  <c r="CG257" l="1"/>
  <c r="CM46"/>
  <c r="CN46"/>
  <c r="CO46"/>
  <c r="CM48"/>
  <c r="CN48"/>
  <c r="CO48"/>
  <c r="CN49"/>
  <c r="CM49"/>
  <c r="CO49"/>
  <c r="CN50"/>
  <c r="CO50"/>
  <c r="CM50"/>
  <c r="CM51"/>
  <c r="CN51"/>
  <c r="CO51"/>
  <c r="CN52"/>
  <c r="CO52"/>
  <c r="CM52"/>
  <c r="BJ258"/>
  <c r="CB47"/>
  <c r="CB258" s="1"/>
  <c r="CF47"/>
  <c r="CF258" s="1"/>
  <c r="BX47"/>
  <c r="BX258" s="1"/>
  <c r="AI47"/>
  <c r="AI53"/>
  <c r="BI21"/>
  <c r="BH21"/>
  <c r="BG21"/>
  <c r="BE21"/>
  <c r="BD21"/>
  <c r="BC21"/>
  <c r="BB21"/>
  <c r="BA21"/>
  <c r="AZ21"/>
  <c r="AY21"/>
  <c r="AX21"/>
  <c r="AV21"/>
  <c r="CD21" s="1"/>
  <c r="AT21"/>
  <c r="AS21"/>
  <c r="AR21"/>
  <c r="AQ21"/>
  <c r="AQ254" s="1"/>
  <c r="AQ250" s="1"/>
  <c r="AP21"/>
  <c r="AO21"/>
  <c r="AM21"/>
  <c r="AL21"/>
  <c r="AK21"/>
  <c r="M21"/>
  <c r="K21"/>
  <c r="CB21" s="1"/>
  <c r="J21"/>
  <c r="BI41"/>
  <c r="BI255" s="1"/>
  <c r="BH41"/>
  <c r="BH255" s="1"/>
  <c r="BG41"/>
  <c r="BG255" s="1"/>
  <c r="BE41"/>
  <c r="BE255" s="1"/>
  <c r="BD41"/>
  <c r="BD255" s="1"/>
  <c r="BC41"/>
  <c r="BC255" s="1"/>
  <c r="BA41"/>
  <c r="BA255" s="1"/>
  <c r="AZ41"/>
  <c r="AZ255" s="1"/>
  <c r="AY41"/>
  <c r="AY255" s="1"/>
  <c r="AW41"/>
  <c r="AW255" s="1"/>
  <c r="AT41"/>
  <c r="AT255" s="1"/>
  <c r="AS41"/>
  <c r="AS255" s="1"/>
  <c r="AR41"/>
  <c r="AR255" s="1"/>
  <c r="AP41"/>
  <c r="AP255" s="1"/>
  <c r="AO41"/>
  <c r="AO255" s="1"/>
  <c r="AM41"/>
  <c r="AM255" s="1"/>
  <c r="AL41"/>
  <c r="AL255" s="1"/>
  <c r="AK41"/>
  <c r="AK255" s="1"/>
  <c r="M41"/>
  <c r="M255" s="1"/>
  <c r="K41"/>
  <c r="K255" s="1"/>
  <c r="J41"/>
  <c r="J255" s="1"/>
  <c r="BI10"/>
  <c r="BH10"/>
  <c r="BG10"/>
  <c r="BE10"/>
  <c r="BD10"/>
  <c r="BC10"/>
  <c r="BB10"/>
  <c r="BA10"/>
  <c r="AZ10"/>
  <c r="AY10"/>
  <c r="AX10"/>
  <c r="AV10"/>
  <c r="AT10"/>
  <c r="AS10"/>
  <c r="AP10"/>
  <c r="AO10"/>
  <c r="AM10"/>
  <c r="AL10"/>
  <c r="AK10"/>
  <c r="M10"/>
  <c r="K10"/>
  <c r="J10"/>
  <c r="BI40"/>
  <c r="BH40"/>
  <c r="BG40"/>
  <c r="BE40"/>
  <c r="BD40"/>
  <c r="BC40"/>
  <c r="BB40"/>
  <c r="BA40"/>
  <c r="AZ40"/>
  <c r="AY40"/>
  <c r="AX40"/>
  <c r="AW40"/>
  <c r="CF40" s="1"/>
  <c r="AT40"/>
  <c r="AS40"/>
  <c r="AP40"/>
  <c r="M40"/>
  <c r="K40"/>
  <c r="CB40" s="1"/>
  <c r="J40"/>
  <c r="M36"/>
  <c r="K36"/>
  <c r="CB36" s="1"/>
  <c r="J36"/>
  <c r="AP36"/>
  <c r="AT36"/>
  <c r="AS36"/>
  <c r="BA36"/>
  <c r="AZ36"/>
  <c r="AY36"/>
  <c r="AW36"/>
  <c r="BB36"/>
  <c r="BE36"/>
  <c r="BD36"/>
  <c r="BH36"/>
  <c r="BG36"/>
  <c r="BI36"/>
  <c r="AR10"/>
  <c r="BI26"/>
  <c r="BH26"/>
  <c r="BG26"/>
  <c r="BE26"/>
  <c r="BD26"/>
  <c r="BC26"/>
  <c r="BB26"/>
  <c r="BA26"/>
  <c r="AZ26"/>
  <c r="AY26"/>
  <c r="AX26"/>
  <c r="AV26"/>
  <c r="CD26" s="1"/>
  <c r="AT26"/>
  <c r="AS26"/>
  <c r="AP26"/>
  <c r="AO26"/>
  <c r="AL26"/>
  <c r="AM26"/>
  <c r="AK26"/>
  <c r="M26"/>
  <c r="K26"/>
  <c r="CB26" s="1"/>
  <c r="J26"/>
  <c r="BS248"/>
  <c r="AR254" l="1"/>
  <c r="AR250" s="1"/>
  <c r="CO47"/>
  <c r="CM47"/>
  <c r="CN47"/>
  <c r="CM53"/>
  <c r="CN53"/>
  <c r="CO53"/>
  <c r="AK254"/>
  <c r="AK250" s="1"/>
  <c r="AP254"/>
  <c r="AP250" s="1"/>
  <c r="AX254"/>
  <c r="AX250" s="1"/>
  <c r="BB254"/>
  <c r="BB250" s="1"/>
  <c r="BG254"/>
  <c r="J254"/>
  <c r="J250" s="1"/>
  <c r="AL254"/>
  <c r="AL250" s="1"/>
  <c r="AS254"/>
  <c r="AS250" s="1"/>
  <c r="AY254"/>
  <c r="AY250" s="1"/>
  <c r="BC254"/>
  <c r="BC250" s="1"/>
  <c r="BH254"/>
  <c r="BH250" s="1"/>
  <c r="AW254"/>
  <c r="K254"/>
  <c r="K250" s="1"/>
  <c r="AM254"/>
  <c r="AM250" s="1"/>
  <c r="AT254"/>
  <c r="AT250" s="1"/>
  <c r="AZ254"/>
  <c r="AZ250" s="1"/>
  <c r="BD254"/>
  <c r="BI254"/>
  <c r="BI250" s="1"/>
  <c r="M254"/>
  <c r="M250" s="1"/>
  <c r="AO254"/>
  <c r="AO250" s="1"/>
  <c r="AV254"/>
  <c r="AV250" s="1"/>
  <c r="BA254"/>
  <c r="BA250" s="1"/>
  <c r="BE254"/>
  <c r="BP254"/>
  <c r="BP250" s="1"/>
  <c r="BQ254"/>
  <c r="BQ250" s="1"/>
  <c r="BK258"/>
  <c r="BR254"/>
  <c r="BR250" s="1"/>
  <c r="AI258"/>
  <c r="AO248"/>
  <c r="AV248"/>
  <c r="BA248"/>
  <c r="AR248"/>
  <c r="AK248"/>
  <c r="AP248"/>
  <c r="AX248"/>
  <c r="BB248"/>
  <c r="AQ248"/>
  <c r="AL248"/>
  <c r="AS248"/>
  <c r="AY248"/>
  <c r="BC248"/>
  <c r="BH248"/>
  <c r="AM248"/>
  <c r="AT248"/>
  <c r="AZ248"/>
  <c r="BI248"/>
  <c r="CD10"/>
  <c r="CB10"/>
  <c r="CB254" s="1"/>
  <c r="CF41"/>
  <c r="CF255" s="1"/>
  <c r="BU41"/>
  <c r="BU255" s="1"/>
  <c r="BU250" s="1"/>
  <c r="CC26"/>
  <c r="CG26" s="1"/>
  <c r="CH26"/>
  <c r="CF36"/>
  <c r="CF254" s="1"/>
  <c r="CE40"/>
  <c r="CG40" s="1"/>
  <c r="CH40"/>
  <c r="CB41"/>
  <c r="CB255" s="1"/>
  <c r="CC21"/>
  <c r="CG21" s="1"/>
  <c r="CH21"/>
  <c r="CE47"/>
  <c r="CE258" s="1"/>
  <c r="CH47"/>
  <c r="CH258" s="1"/>
  <c r="AU41"/>
  <c r="AU255" s="1"/>
  <c r="BL258"/>
  <c r="BQ248"/>
  <c r="BR248"/>
  <c r="BP248"/>
  <c r="CN258" l="1"/>
  <c r="CM258"/>
  <c r="CH10"/>
  <c r="CD254"/>
  <c r="CD250" s="1"/>
  <c r="CB250"/>
  <c r="CC10"/>
  <c r="CC254" s="1"/>
  <c r="CC250" s="1"/>
  <c r="CD248"/>
  <c r="CE41"/>
  <c r="CE255" s="1"/>
  <c r="CH41"/>
  <c r="CH255" s="1"/>
  <c r="CG47"/>
  <c r="CG258" s="1"/>
  <c r="CE36"/>
  <c r="CE254" s="1"/>
  <c r="CH36"/>
  <c r="CB248"/>
  <c r="CH254" l="1"/>
  <c r="CC248"/>
  <c r="CG10"/>
  <c r="CG41"/>
  <c r="CG255" s="1"/>
  <c r="CG36"/>
  <c r="BW248"/>
  <c r="BV248"/>
  <c r="BU248"/>
  <c r="BT248"/>
  <c r="AG248"/>
  <c r="AE248"/>
  <c r="V248"/>
  <c r="U248"/>
  <c r="T248"/>
  <c r="Q248"/>
  <c r="P248"/>
  <c r="M248"/>
  <c r="L248"/>
  <c r="K248"/>
  <c r="J248"/>
  <c r="G248"/>
  <c r="CI248" s="1"/>
  <c r="CG254" l="1"/>
  <c r="G253"/>
  <c r="G252" l="1"/>
  <c r="G250" s="1"/>
  <c r="AU37" l="1"/>
  <c r="AU38"/>
  <c r="AU9"/>
  <c r="AU253" s="1"/>
  <c r="AU10"/>
  <c r="AU12"/>
  <c r="AU13"/>
  <c r="AU15"/>
  <c r="AU17"/>
  <c r="AU20"/>
  <c r="AU21"/>
  <c r="AU23"/>
  <c r="AU25"/>
  <c r="AU26"/>
  <c r="AU27"/>
  <c r="AU36"/>
  <c r="AU39"/>
  <c r="AU40"/>
  <c r="AU8"/>
  <c r="AU11"/>
  <c r="AU14"/>
  <c r="AU16"/>
  <c r="AU18"/>
  <c r="AU22"/>
  <c r="AU24"/>
  <c r="AU29"/>
  <c r="AU30"/>
  <c r="AU31"/>
  <c r="AU7"/>
  <c r="AU32"/>
  <c r="AU34"/>
  <c r="AU35"/>
  <c r="AU42"/>
  <c r="AU43"/>
  <c r="AU44"/>
  <c r="AI45"/>
  <c r="AI257" s="1"/>
  <c r="AI38"/>
  <c r="AI10"/>
  <c r="AI13"/>
  <c r="AI15"/>
  <c r="AI17"/>
  <c r="AI21"/>
  <c r="AI23"/>
  <c r="AI25"/>
  <c r="AI26"/>
  <c r="AI27"/>
  <c r="AI36"/>
  <c r="AI39"/>
  <c r="AI40"/>
  <c r="AI14"/>
  <c r="AI16"/>
  <c r="AI18"/>
  <c r="AI19"/>
  <c r="AI24"/>
  <c r="AI30"/>
  <c r="AI31"/>
  <c r="AI34"/>
  <c r="AI35"/>
  <c r="AI42"/>
  <c r="AI43"/>
  <c r="AI44"/>
  <c r="BJ255"/>
  <c r="BK255"/>
  <c r="BL255"/>
  <c r="BM253"/>
  <c r="BN253"/>
  <c r="BO253"/>
  <c r="BG33"/>
  <c r="AW33"/>
  <c r="CF33" s="1"/>
  <c r="BG19"/>
  <c r="AW19"/>
  <c r="BE19"/>
  <c r="BE256" s="1"/>
  <c r="BD19"/>
  <c r="BD256" s="1"/>
  <c r="BE33"/>
  <c r="BD33"/>
  <c r="BX7"/>
  <c r="BX11"/>
  <c r="BX14"/>
  <c r="BX16"/>
  <c r="BX18"/>
  <c r="BX19"/>
  <c r="BX22"/>
  <c r="BX24"/>
  <c r="BX37"/>
  <c r="BX38"/>
  <c r="BX41"/>
  <c r="BX255" s="1"/>
  <c r="BX29"/>
  <c r="BX30"/>
  <c r="BX31"/>
  <c r="BX32"/>
  <c r="BX33"/>
  <c r="BX34"/>
  <c r="BX35"/>
  <c r="BX42"/>
  <c r="BX43"/>
  <c r="BX44"/>
  <c r="AW256" l="1"/>
  <c r="BG256"/>
  <c r="BX256"/>
  <c r="BG250"/>
  <c r="CN35"/>
  <c r="CO35"/>
  <c r="CM35"/>
  <c r="CN24"/>
  <c r="CO24"/>
  <c r="CM24"/>
  <c r="CO16"/>
  <c r="CM16"/>
  <c r="CN16"/>
  <c r="CM36"/>
  <c r="CN36"/>
  <c r="CO36"/>
  <c r="CN23"/>
  <c r="CO23"/>
  <c r="CM23"/>
  <c r="CO13"/>
  <c r="CM13"/>
  <c r="CN13"/>
  <c r="CN44"/>
  <c r="CO44"/>
  <c r="CM44"/>
  <c r="CN34"/>
  <c r="CM34"/>
  <c r="CO34"/>
  <c r="CM14"/>
  <c r="CN14"/>
  <c r="CO14"/>
  <c r="CN27"/>
  <c r="CO27"/>
  <c r="CM27"/>
  <c r="CN21"/>
  <c r="CO21"/>
  <c r="CM21"/>
  <c r="CN10"/>
  <c r="CO10"/>
  <c r="CM10"/>
  <c r="CO43"/>
  <c r="CM43"/>
  <c r="CN43"/>
  <c r="CM31"/>
  <c r="CN31"/>
  <c r="CO31"/>
  <c r="CN19"/>
  <c r="CO19"/>
  <c r="CM19"/>
  <c r="CM40"/>
  <c r="CN40"/>
  <c r="CO40"/>
  <c r="CO26"/>
  <c r="CM26"/>
  <c r="CN26"/>
  <c r="CM17"/>
  <c r="CN17"/>
  <c r="CO17"/>
  <c r="CM38"/>
  <c r="CN38"/>
  <c r="CO38"/>
  <c r="CM42"/>
  <c r="CO42"/>
  <c r="CN42"/>
  <c r="CN30"/>
  <c r="CO30"/>
  <c r="CM30"/>
  <c r="CO18"/>
  <c r="CM18"/>
  <c r="CN18"/>
  <c r="CN39"/>
  <c r="CO39"/>
  <c r="CM39"/>
  <c r="CM25"/>
  <c r="CN25"/>
  <c r="CO25"/>
  <c r="CM15"/>
  <c r="CN15"/>
  <c r="CO15"/>
  <c r="CO45"/>
  <c r="CO257" s="1"/>
  <c r="CM45"/>
  <c r="CM257" s="1"/>
  <c r="CN45"/>
  <c r="CN257" s="1"/>
  <c r="AU254"/>
  <c r="BO254"/>
  <c r="BL252"/>
  <c r="BJ252"/>
  <c r="AW248"/>
  <c r="AW250"/>
  <c r="BD250"/>
  <c r="BE248"/>
  <c r="BE250"/>
  <c r="AU252"/>
  <c r="BX252"/>
  <c r="BM254"/>
  <c r="BN254"/>
  <c r="BN250" s="1"/>
  <c r="BK252"/>
  <c r="BG248"/>
  <c r="BD248"/>
  <c r="CF19"/>
  <c r="CF256" s="1"/>
  <c r="CE33"/>
  <c r="CG33" s="1"/>
  <c r="CH33"/>
  <c r="AF248"/>
  <c r="AD248"/>
  <c r="AI41"/>
  <c r="AI8"/>
  <c r="AI37"/>
  <c r="R248"/>
  <c r="S248"/>
  <c r="N248"/>
  <c r="AI33"/>
  <c r="AI29"/>
  <c r="BO248"/>
  <c r="BN248"/>
  <c r="BM248"/>
  <c r="BJ248"/>
  <c r="AI7"/>
  <c r="AI9"/>
  <c r="BX248"/>
  <c r="O248"/>
  <c r="AU19"/>
  <c r="AU33"/>
  <c r="AI32"/>
  <c r="AI20"/>
  <c r="AU256" l="1"/>
  <c r="CM20"/>
  <c r="CN20"/>
  <c r="CO20"/>
  <c r="CN9"/>
  <c r="CN253" s="1"/>
  <c r="CO9"/>
  <c r="CM9"/>
  <c r="CM253" s="1"/>
  <c r="CM8"/>
  <c r="CN8"/>
  <c r="CO8"/>
  <c r="CO32"/>
  <c r="CM32"/>
  <c r="CN32"/>
  <c r="CO7"/>
  <c r="CN7"/>
  <c r="CM7"/>
  <c r="CN41"/>
  <c r="CN255" s="1"/>
  <c r="CO41"/>
  <c r="CM41"/>
  <c r="CM255" s="1"/>
  <c r="CO29"/>
  <c r="CM29"/>
  <c r="CN29"/>
  <c r="CM33"/>
  <c r="CN33"/>
  <c r="CO33"/>
  <c r="CN37"/>
  <c r="CN252" s="1"/>
  <c r="CO37"/>
  <c r="CM37"/>
  <c r="CM252" s="1"/>
  <c r="BJ250"/>
  <c r="AI255"/>
  <c r="AI253"/>
  <c r="AI252"/>
  <c r="BO250"/>
  <c r="BM250"/>
  <c r="AU250"/>
  <c r="CE19"/>
  <c r="CE256" s="1"/>
  <c r="CF250"/>
  <c r="AI254"/>
  <c r="AU248"/>
  <c r="BX250"/>
  <c r="CF248"/>
  <c r="CH19"/>
  <c r="CH256" s="1"/>
  <c r="BK248"/>
  <c r="BL248"/>
  <c r="AI22"/>
  <c r="AI256" s="1"/>
  <c r="W248"/>
  <c r="X248"/>
  <c r="Y248"/>
  <c r="AC248"/>
  <c r="CE250" l="1"/>
  <c r="CH250"/>
  <c r="CN254"/>
  <c r="CM254"/>
  <c r="CM22"/>
  <c r="CN22"/>
  <c r="CN256" s="1"/>
  <c r="CO22"/>
  <c r="AI250"/>
  <c r="BK250"/>
  <c r="BL250"/>
  <c r="CE248"/>
  <c r="CG19"/>
  <c r="CG256" s="1"/>
  <c r="AI248"/>
  <c r="CH248"/>
  <c r="CM248" l="1"/>
  <c r="CM256"/>
  <c r="CM250" s="1"/>
  <c r="CG250"/>
  <c r="CN250"/>
  <c r="CN248"/>
  <c r="CG248"/>
</calcChain>
</file>

<file path=xl/comments1.xml><?xml version="1.0" encoding="utf-8"?>
<comments xmlns="http://schemas.openxmlformats.org/spreadsheetml/2006/main">
  <authors>
    <author>1</author>
    <author>Захаров Алексей Алексеевич</author>
  </authors>
  <commentList>
    <comment ref="N33" authorId="0">
      <text>
        <r>
          <rPr>
            <b/>
            <sz val="8"/>
            <color indexed="81"/>
            <rFont val="Tahoma"/>
            <family val="2"/>
            <charset val="204"/>
          </rPr>
          <t>перевод в неж.ф. 117,177,179</t>
        </r>
      </text>
    </comment>
    <comment ref="BY51" authorId="1">
      <text>
        <r>
          <rPr>
            <sz val="9"/>
            <color indexed="81"/>
            <rFont val="Tahoma"/>
            <family val="2"/>
            <charset val="204"/>
          </rPr>
          <t>238,2 - передано в муниц.собств. нежил.помещений по акту упр.имущ. (письмо ж.тр.№5467от29.11.18)</t>
        </r>
      </text>
    </comment>
    <comment ref="BZ51" authorId="1">
      <text>
        <r>
          <rPr>
            <sz val="9"/>
            <color indexed="81"/>
            <rFont val="Tahoma"/>
            <family val="2"/>
            <charset val="204"/>
          </rPr>
          <t>238,2 - передано в муниц.собств. нежил.помещений по акту упр.имущ. (письмо ж.тр.№5467от29.11.18)</t>
        </r>
      </text>
    </comment>
  </commentList>
</comments>
</file>

<file path=xl/sharedStrings.xml><?xml version="1.0" encoding="utf-8"?>
<sst xmlns="http://schemas.openxmlformats.org/spreadsheetml/2006/main" count="357" uniqueCount="185">
  <si>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</si>
  <si>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</si>
  <si>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</si>
  <si>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</si>
  <si>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</si>
  <si>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</si>
  <si>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</si>
  <si>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</si>
  <si>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</si>
  <si>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</si>
  <si>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</si>
  <si>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</si>
  <si>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</si>
  <si>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</si>
  <si>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</si>
  <si>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>Жилищный фонд всего, в т.ч.:</t>
  </si>
  <si>
    <t>ИТОГО:</t>
  </si>
  <si>
    <t xml:space="preserve"> - Сталинки</t>
  </si>
  <si>
    <t xml:space="preserve"> -ДГТ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</si>
  <si>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</si>
  <si>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</si>
  <si>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</si>
  <si>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</si>
  <si>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</si>
  <si>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</si>
  <si>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</si>
  <si>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</si>
  <si>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>111-84</t>
  </si>
  <si>
    <t>111-112</t>
  </si>
  <si>
    <t>сталинка</t>
  </si>
  <si>
    <t>50 лет Октября 2</t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</si>
  <si>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</si>
  <si>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</si>
  <si>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</si>
  <si>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</si>
  <si>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</si>
  <si>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</si>
  <si>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</si>
  <si>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</si>
  <si>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</si>
  <si>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</si>
  <si>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</si>
  <si>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</si>
  <si>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</si>
  <si>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</si>
  <si>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</si>
  <si>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</si>
  <si>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</si>
  <si>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</si>
  <si>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</si>
  <si>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</si>
  <si>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</si>
  <si>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</si>
  <si>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</si>
  <si>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</si>
  <si>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</si>
  <si>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</si>
  <si>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</si>
  <si>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</si>
  <si>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</si>
  <si>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</si>
  <si>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</si>
  <si>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</si>
  <si>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</si>
  <si>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</si>
  <si>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</si>
  <si>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Подразделение</t>
  </si>
  <si>
    <t>Советская 8</t>
  </si>
  <si>
    <t>Комсомольская 4</t>
  </si>
  <si>
    <t>Комсомольская 7</t>
  </si>
  <si>
    <t>Комсомольская 8</t>
  </si>
  <si>
    <t>Комсомольская 9</t>
  </si>
  <si>
    <t>Комсомольская 10</t>
  </si>
  <si>
    <t>Комсомольская 11</t>
  </si>
  <si>
    <t>Комсомольская 12</t>
  </si>
  <si>
    <t>Комсомольская 14</t>
  </si>
  <si>
    <t>Комсомольская 15</t>
  </si>
  <si>
    <t>Комсомольская 18</t>
  </si>
  <si>
    <t>Комсомольская 19</t>
  </si>
  <si>
    <t>Комсомольская 22</t>
  </si>
  <si>
    <t>Комсомольская 23</t>
  </si>
  <si>
    <t>Комсомольская 27</t>
  </si>
  <si>
    <t>Ленинский 3</t>
  </si>
  <si>
    <t>Ленинский 5</t>
  </si>
  <si>
    <t>Ленинский 7</t>
  </si>
  <si>
    <t>Ленинский 11</t>
  </si>
  <si>
    <t>Ленинский 13</t>
  </si>
  <si>
    <t>Ленинский 15</t>
  </si>
  <si>
    <t>Ленинский 17</t>
  </si>
  <si>
    <t>Советская 4</t>
  </si>
  <si>
    <t>Советская 6</t>
  </si>
  <si>
    <t>ж.тр.</t>
  </si>
  <si>
    <t>ж.тр./1</t>
  </si>
  <si>
    <t>ж.тр./дгт</t>
  </si>
  <si>
    <t>ж.тр./общ.</t>
  </si>
  <si>
    <t>пан</t>
  </si>
  <si>
    <t>кир</t>
  </si>
  <si>
    <t>ЧАСТНАЯ СОБСТВЕННОСТЬ</t>
  </si>
  <si>
    <t>МУНИЦИПАЛЬНАЯ СОБСТВЕННОСТЬ</t>
  </si>
  <si>
    <t>ЖИЛЫЕ ПОМЕЩЕНИЯ</t>
  </si>
  <si>
    <t>НЕЖИЛЫЕ ПОМЕЩЕНИЯ, КВ.М</t>
  </si>
  <si>
    <t>Внутриквартирные трубопроводы, п.м.</t>
  </si>
  <si>
    <t>1-447с</t>
  </si>
  <si>
    <t>1-464-82д</t>
  </si>
  <si>
    <t>к-69</t>
  </si>
  <si>
    <t>нк-12</t>
  </si>
  <si>
    <t>смешанные дома</t>
  </si>
  <si>
    <t>смеш</t>
  </si>
  <si>
    <t>Комсомольская 25</t>
  </si>
  <si>
    <t>Комсомольская 3</t>
  </si>
  <si>
    <t>Комсомольская 17</t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</si>
  <si>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</si>
  <si>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</si>
  <si>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кол-во МКД, ед.</t>
  </si>
  <si>
    <t>длина трубопроводов, п.м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</si>
  <si>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</si>
  <si>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t>в том числе</t>
  </si>
  <si>
    <t>кап.р., реконструкция</t>
  </si>
  <si>
    <t>под аренду</t>
  </si>
  <si>
    <t>ГОСУДАРСТВЕННАЯ СОБСТВЕННОСТЬ</t>
  </si>
  <si>
    <t>ВСЕГО (муниц.+ частная+гос.)</t>
  </si>
  <si>
    <t>лицевых счетов, ед.</t>
  </si>
  <si>
    <t>Лауреатов 23</t>
  </si>
  <si>
    <t>Лауреатов 31</t>
  </si>
  <si>
    <t>Ленинский 46</t>
  </si>
  <si>
    <t>Металлургов 29</t>
  </si>
  <si>
    <t>Михайличенко 6</t>
  </si>
  <si>
    <t>Молодежный 25</t>
  </si>
  <si>
    <t>Орджоникидзе 19</t>
  </si>
  <si>
    <t>Севастопольская 13</t>
  </si>
  <si>
    <t>Талнахская 67</t>
  </si>
  <si>
    <r>
      <t>Фасад, м</t>
    </r>
    <r>
      <rPr>
        <vertAlign val="superscript"/>
        <sz val="10"/>
        <rFont val="Times New Roman"/>
        <family val="1"/>
        <charset val="204"/>
      </rPr>
      <t>2</t>
    </r>
  </si>
  <si>
    <r>
      <t>Газоны, м</t>
    </r>
    <r>
      <rPr>
        <vertAlign val="superscript"/>
        <sz val="10"/>
        <rFont val="Times New Roman"/>
        <family val="1"/>
        <charset val="204"/>
      </rPr>
      <t>2</t>
    </r>
  </si>
  <si>
    <r>
      <t>Цокольная забирка, м</t>
    </r>
    <r>
      <rPr>
        <vertAlign val="superscript"/>
        <sz val="10"/>
        <rFont val="Times New Roman"/>
        <family val="1"/>
        <charset val="204"/>
      </rPr>
      <t>2</t>
    </r>
  </si>
  <si>
    <r>
      <t>Площадь подполий, м</t>
    </r>
    <r>
      <rPr>
        <vertAlign val="superscript"/>
        <sz val="10"/>
        <rFont val="Times New Roman"/>
        <family val="1"/>
        <charset val="204"/>
      </rPr>
      <t>2</t>
    </r>
  </si>
  <si>
    <r>
      <t>Площадь чердаков, м</t>
    </r>
    <r>
      <rPr>
        <vertAlign val="superscript"/>
        <sz val="10"/>
        <rFont val="Times New Roman"/>
        <family val="1"/>
        <charset val="204"/>
      </rPr>
      <t>2</t>
    </r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</si>
  <si>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  <charset val="204"/>
      </rPr>
      <t>2</t>
    </r>
  </si>
  <si>
    <r>
      <t>площадь фасада кирпичные здания, м</t>
    </r>
    <r>
      <rPr>
        <vertAlign val="superscript"/>
        <sz val="10"/>
        <rFont val="Times New Roman"/>
        <family val="1"/>
        <charset val="204"/>
      </rPr>
      <t>2</t>
    </r>
  </si>
  <si>
    <t>Всего: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</si>
  <si>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</si>
  <si>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</si>
  <si>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</si>
  <si>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</si>
  <si>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</si>
  <si>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</si>
  <si>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</si>
  <si>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</si>
  <si>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</si>
  <si>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</si>
  <si>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</si>
  <si>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</si>
  <si>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</si>
  <si>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</si>
  <si>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</si>
  <si>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</si>
  <si>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</si>
  <si>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</si>
  <si>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</si>
  <si>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 xml:space="preserve"> - 5-эт. МКД коридорного типа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</si>
  <si>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</si>
  <si>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</si>
  <si>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</si>
  <si>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</si>
  <si>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>Комсомольская 7А</t>
  </si>
  <si>
    <t>Комсомольская 1А</t>
  </si>
  <si>
    <t xml:space="preserve"> - К-69-5</t>
  </si>
  <si>
    <t>данные по состоянию на 01.01.2017</t>
  </si>
  <si>
    <t>в части жилых помещений</t>
  </si>
  <si>
    <t>всего по МКД</t>
  </si>
  <si>
    <t>доля муниципального образования
в праве общей собственности на общее имущество в МКД более 50%</t>
  </si>
  <si>
    <t>площадь всех жилых помещений в МКД, кв.м</t>
  </si>
  <si>
    <t>площадь всего в МКД, кв.м</t>
  </si>
  <si>
    <t>Набережная Урванцева 33</t>
  </si>
  <si>
    <t>Набережная Урванцева 49</t>
  </si>
  <si>
    <t>Набережная Урванцева 45</t>
  </si>
  <si>
    <t>Набережная Урванцева 41</t>
  </si>
  <si>
    <t>Набережная Урванцева 39</t>
  </si>
  <si>
    <t>Набережная Урванцева 37</t>
  </si>
  <si>
    <t>Ленинский 1</t>
  </si>
  <si>
    <t>4,5,7</t>
  </si>
  <si>
    <t>50 лет Октября 1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</si>
  <si>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2020)</t>
    </r>
  </si>
  <si>
    <t>Характеристика жилищного фонда, обслуживаемого ООО "Заполярный жилищный трест", по состоянию  на 01.01.2021 (проживающие, лиц.сч.по состоянию на 01.01.2021</t>
  </si>
  <si>
    <r>
      <t xml:space="preserve">доля в площади муниципальных </t>
    </r>
    <r>
      <rPr>
        <b/>
        <i/>
        <u/>
        <sz val="10"/>
        <rFont val="Times New Roman"/>
        <family val="1"/>
        <charset val="204"/>
      </rPr>
      <t>жил.помещ.</t>
    </r>
    <r>
      <rPr>
        <i/>
        <sz val="10"/>
        <rFont val="Times New Roman"/>
        <family val="1"/>
        <charset val="204"/>
      </rPr>
      <t xml:space="preserve"> в МКД, %</t>
    </r>
  </si>
  <si>
    <r>
      <t xml:space="preserve">доля в площади муниципальных </t>
    </r>
    <r>
      <rPr>
        <b/>
        <i/>
        <u/>
        <sz val="10"/>
        <rFont val="Times New Roman"/>
        <family val="1"/>
        <charset val="204"/>
      </rPr>
      <t>жил. и нежил. помещ.</t>
    </r>
    <r>
      <rPr>
        <i/>
        <sz val="10"/>
        <rFont val="Times New Roman"/>
        <family val="1"/>
        <charset val="204"/>
      </rPr>
      <t xml:space="preserve"> в МКД, %</t>
    </r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</si>
</sst>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</numFmts>
  <fonts count="19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69">
    <xf numFmtId="0" fontId="0" fillId="0" borderId="0" xfId="0"/>
    <xf numFmtId="0" fontId="1" fillId="0" borderId="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" fillId="0" borderId="1" xfId="1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166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0" borderId="0" xfId="3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164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1" xfId="1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3" applyNumberFormat="1" applyFont="1" applyFill="1" applyBorder="1" applyAlignment="1">
      <alignment horizontal="right" vertical="center"/>
    </xf>
    <xf numFmtId="166" fontId="1" fillId="0" borderId="1" xfId="1" applyNumberFormat="1" applyFont="1" applyFill="1" applyBorder="1" applyAlignment="1">
      <alignment horizontal="right" vertical="center"/>
    </xf>
    <xf numFmtId="166" fontId="1" fillId="0" borderId="1" xfId="3" applyNumberFormat="1" applyFont="1" applyFill="1" applyBorder="1" applyAlignment="1" applyProtection="1">
      <alignment horizontal="right" vertical="center"/>
      <protection locked="0"/>
    </xf>
    <xf numFmtId="166" fontId="1" fillId="0" borderId="1" xfId="0" applyNumberFormat="1" applyFont="1" applyFill="1" applyBorder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4" fontId="1" fillId="0" borderId="1" xfId="3" applyNumberFormat="1" applyFont="1" applyFill="1" applyBorder="1" applyAlignment="1" applyProtection="1">
      <alignment horizontal="right" vertical="center"/>
      <protection locked="0"/>
    </xf>
    <xf numFmtId="3" fontId="1" fillId="0" borderId="1" xfId="3" applyNumberFormat="1" applyFont="1" applyFill="1" applyBorder="1" applyAlignment="1" applyProtection="1">
      <alignment horizontal="right" vertical="center"/>
      <protection locked="0"/>
    </xf>
    <xf numFmtId="166" fontId="1" fillId="0" borderId="1" xfId="3" applyNumberFormat="1" applyFont="1" applyFill="1" applyBorder="1" applyAlignment="1">
      <alignment horizontal="right" vertical="center"/>
    </xf>
    <xf numFmtId="3" fontId="1" fillId="0" borderId="1" xfId="5" applyNumberFormat="1" applyFont="1" applyFill="1" applyBorder="1" applyAlignment="1">
      <alignment horizontal="right" vertical="center"/>
    </xf>
    <xf numFmtId="3" fontId="1" fillId="0" borderId="1" xfId="5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166" fontId="1" fillId="0" borderId="2" xfId="3" applyNumberFormat="1" applyFont="1" applyFill="1" applyBorder="1" applyAlignment="1" applyProtection="1">
      <alignment horizontal="right" vertical="center"/>
      <protection locked="0"/>
    </xf>
    <xf numFmtId="166" fontId="1" fillId="0" borderId="2" xfId="3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" xfId="3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 applyProtection="1">
      <alignment horizontal="left" vertical="center"/>
      <protection locked="0"/>
    </xf>
    <xf numFmtId="3" fontId="5" fillId="0" borderId="0" xfId="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horizontal="left" vertical="center"/>
      <protection locked="0"/>
    </xf>
    <xf numFmtId="3" fontId="1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horizontal="center" vertical="center"/>
      <protection locked="0"/>
    </xf>
    <xf numFmtId="166" fontId="1" fillId="0" borderId="0" xfId="3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3" applyNumberFormat="1" applyFont="1" applyFill="1" applyAlignment="1" applyProtection="1">
      <alignment vertical="center"/>
      <protection locked="0"/>
    </xf>
    <xf numFmtId="0" fontId="1" fillId="0" borderId="0" xfId="3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4" fontId="1" fillId="0" borderId="1" xfId="1" applyNumberFormat="1" applyFont="1" applyFill="1" applyBorder="1" applyAlignment="1">
      <alignment horizontal="right" vertical="center"/>
    </xf>
    <xf numFmtId="0" fontId="13" fillId="0" borderId="1" xfId="7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3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1" xfId="1" applyNumberFormat="1" applyFont="1" applyFill="1" applyBorder="1" applyAlignment="1" applyProtection="1">
      <alignment vertical="center"/>
      <protection locked="0"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3" fontId="13" fillId="0" borderId="1" xfId="0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2" fontId="1" fillId="0" borderId="0" xfId="1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5" fillId="0" borderId="0" xfId="3" applyNumberFormat="1" applyFont="1" applyFill="1" applyBorder="1" applyAlignment="1">
      <alignment vertical="center"/>
    </xf>
    <xf numFmtId="4" fontId="1" fillId="0" borderId="0" xfId="3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 applyProtection="1">
      <alignment horizontal="left" vertical="center"/>
      <protection locked="0"/>
    </xf>
    <xf numFmtId="0" fontId="1" fillId="0" borderId="2" xfId="1" applyNumberFormat="1" applyFont="1" applyFill="1" applyBorder="1" applyAlignment="1" applyProtection="1">
      <alignment horizontal="right"/>
      <protection locked="0"/>
    </xf>
    <xf numFmtId="4" fontId="1" fillId="0" borderId="2" xfId="3" applyNumberFormat="1" applyFont="1" applyFill="1" applyBorder="1" applyAlignment="1" applyProtection="1">
      <alignment horizontal="right" vertical="center"/>
      <protection locked="0"/>
    </xf>
    <xf numFmtId="3" fontId="1" fillId="0" borderId="2" xfId="3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" fillId="0" borderId="4" xfId="1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1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4" xfId="1" applyNumberFormat="1" applyFont="1" applyFill="1" applyBorder="1" applyAlignment="1" applyProtection="1">
      <alignment horizontal="right"/>
      <protection locked="0"/>
    </xf>
    <xf numFmtId="4" fontId="1" fillId="0" borderId="4" xfId="3" applyNumberFormat="1" applyFont="1" applyFill="1" applyBorder="1" applyAlignment="1" applyProtection="1">
      <alignment horizontal="right" vertical="center"/>
      <protection locked="0"/>
    </xf>
    <xf numFmtId="166" fontId="1" fillId="0" borderId="4" xfId="3" applyNumberFormat="1" applyFont="1" applyFill="1" applyBorder="1" applyAlignment="1" applyProtection="1">
      <alignment horizontal="right" vertical="center"/>
      <protection locked="0"/>
    </xf>
    <xf numFmtId="3" fontId="1" fillId="0" borderId="4" xfId="3" applyNumberFormat="1" applyFont="1" applyFill="1" applyBorder="1" applyAlignment="1">
      <alignment horizontal="right" vertical="center"/>
    </xf>
    <xf numFmtId="3" fontId="1" fillId="0" borderId="4" xfId="1" applyNumberFormat="1" applyFont="1" applyFill="1" applyBorder="1" applyAlignment="1">
      <alignment horizontal="right" vertical="center"/>
    </xf>
    <xf numFmtId="4" fontId="1" fillId="0" borderId="4" xfId="1" applyNumberFormat="1" applyFont="1" applyFill="1" applyBorder="1" applyAlignment="1">
      <alignment horizontal="right" vertical="center"/>
    </xf>
    <xf numFmtId="166" fontId="1" fillId="0" borderId="4" xfId="1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166" fontId="1" fillId="0" borderId="4" xfId="0" applyNumberFormat="1" applyFont="1" applyFill="1" applyBorder="1" applyAlignment="1">
      <alignment horizontal="right" vertical="center"/>
    </xf>
    <xf numFmtId="3" fontId="13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 applyProtection="1">
      <alignment horizontal="center" vertical="center"/>
      <protection hidden="1"/>
    </xf>
    <xf numFmtId="3" fontId="1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5" fillId="0" borderId="8" xfId="7" applyFont="1" applyFill="1" applyBorder="1" applyAlignment="1">
      <alignment horizontal="center" vertical="center" wrapText="1"/>
    </xf>
    <xf numFmtId="0" fontId="5" fillId="0" borderId="10" xfId="7" applyFont="1" applyFill="1" applyBorder="1" applyAlignment="1">
      <alignment horizontal="center" vertical="center" wrapText="1"/>
    </xf>
    <xf numFmtId="0" fontId="5" fillId="0" borderId="13" xfId="7" applyFont="1" applyFill="1" applyBorder="1" applyAlignment="1">
      <alignment horizontal="center" vertical="center" wrapText="1"/>
    </xf>
    <xf numFmtId="0" fontId="5" fillId="0" borderId="14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textRotation="90"/>
    </xf>
    <xf numFmtId="0" fontId="1" fillId="0" borderId="3" xfId="1" applyNumberFormat="1" applyFont="1" applyFill="1" applyBorder="1" applyAlignment="1">
      <alignment horizontal="center" vertical="center" textRotation="90"/>
    </xf>
    <xf numFmtId="0" fontId="1" fillId="0" borderId="4" xfId="1" applyNumberFormat="1" applyFont="1" applyFill="1" applyBorder="1" applyAlignment="1">
      <alignment horizontal="center" vertical="center" textRotation="90"/>
    </xf>
    <xf numFmtId="0" fontId="1" fillId="0" borderId="2" xfId="6" applyFont="1" applyFill="1" applyBorder="1" applyAlignment="1">
      <alignment horizontal="center" vertical="center" textRotation="90" wrapText="1"/>
    </xf>
    <xf numFmtId="0" fontId="1" fillId="0" borderId="3" xfId="6" applyFont="1" applyFill="1" applyBorder="1" applyAlignment="1">
      <alignment horizontal="center" vertical="center" textRotation="90" wrapText="1"/>
    </xf>
    <xf numFmtId="0" fontId="1" fillId="0" borderId="4" xfId="6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3" applyNumberFormat="1" applyFont="1" applyFill="1" applyBorder="1" applyAlignment="1">
      <alignment horizontal="center" vertical="center" wrapText="1"/>
    </xf>
    <xf numFmtId="0" fontId="1" fillId="0" borderId="15" xfId="3" applyNumberFormat="1" applyFont="1" applyFill="1" applyBorder="1" applyAlignment="1">
      <alignment horizontal="center" vertical="center" wrapText="1"/>
    </xf>
    <xf numFmtId="0" fontId="1" fillId="0" borderId="12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 textRotation="90" wrapText="1"/>
    </xf>
    <xf numFmtId="0" fontId="1" fillId="0" borderId="1" xfId="1" applyFont="1" applyFill="1" applyBorder="1"/>
    <xf numFmtId="0" fontId="1" fillId="0" borderId="11" xfId="3" applyNumberFormat="1" applyFont="1" applyFill="1" applyBorder="1" applyAlignment="1">
      <alignment horizontal="center" vertical="center"/>
    </xf>
    <xf numFmtId="0" fontId="1" fillId="0" borderId="12" xfId="3" applyNumberFormat="1" applyFont="1" applyFill="1" applyBorder="1" applyAlignment="1">
      <alignment horizontal="center" vertical="center"/>
    </xf>
    <xf numFmtId="166" fontId="1" fillId="0" borderId="1" xfId="4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textRotation="90" wrapText="1"/>
    </xf>
    <xf numFmtId="0" fontId="12" fillId="0" borderId="3" xfId="1" applyNumberFormat="1" applyFont="1" applyFill="1" applyBorder="1" applyAlignment="1">
      <alignment horizontal="center" vertical="center" textRotation="90" wrapText="1"/>
    </xf>
    <xf numFmtId="0" fontId="12" fillId="0" borderId="4" xfId="1" applyNumberFormat="1" applyFont="1" applyFill="1" applyBorder="1" applyAlignment="1">
      <alignment horizontal="center" vertical="center" textRotation="90" wrapText="1"/>
    </xf>
    <xf numFmtId="0" fontId="15" fillId="0" borderId="0" xfId="0" applyNumberFormat="1" applyFont="1" applyFill="1" applyAlignment="1">
      <alignment vertical="center"/>
    </xf>
    <xf numFmtId="0" fontId="16" fillId="0" borderId="1" xfId="7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" fillId="0" borderId="1" xfId="1" applyNumberFormat="1" applyFont="1" applyFill="1" applyBorder="1" applyAlignment="1">
      <alignment horizontal="right" vertical="center"/>
    </xf>
    <xf numFmtId="167" fontId="15" fillId="0" borderId="11" xfId="0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1" applyNumberFormat="1" applyFont="1" applyFill="1" applyBorder="1" applyAlignment="1">
      <alignment horizontal="right" vertical="center"/>
    </xf>
    <xf numFmtId="167" fontId="15" fillId="0" borderId="8" xfId="0" applyNumberFormat="1" applyFont="1" applyFill="1" applyBorder="1" applyAlignment="1">
      <alignment vertical="center"/>
    </xf>
    <xf numFmtId="0" fontId="13" fillId="0" borderId="2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  <protection hidden="1"/>
    </xf>
    <xf numFmtId="1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0" fontId="2" fillId="0" borderId="1" xfId="1" applyFont="1" applyBorder="1"/>
    <xf numFmtId="0" fontId="1" fillId="0" borderId="4" xfId="1" applyNumberFormat="1" applyFont="1" applyFill="1" applyBorder="1" applyAlignment="1">
      <alignment horizontal="right" vertical="center"/>
    </xf>
    <xf numFmtId="167" fontId="15" fillId="0" borderId="5" xfId="0" applyNumberFormat="1" applyFont="1" applyFill="1" applyBorder="1" applyAlignment="1">
      <alignment vertical="center"/>
    </xf>
    <xf numFmtId="0" fontId="13" fillId="0" borderId="4" xfId="1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center" vertical="center"/>
      <protection hidden="1"/>
    </xf>
    <xf numFmtId="1" fontId="1" fillId="0" borderId="4" xfId="0" applyNumberFormat="1" applyFont="1" applyFill="1" applyBorder="1" applyAlignment="1" applyProtection="1">
      <alignment horizontal="center"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1" fontId="1" fillId="0" borderId="1" xfId="1" applyNumberFormat="1" applyFont="1" applyFill="1" applyBorder="1" applyAlignment="1">
      <alignment horizontal="right" vertical="center"/>
    </xf>
    <xf numFmtId="0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1" xfId="6" applyFont="1" applyFill="1" applyBorder="1" applyAlignment="1">
      <alignment vertical="center"/>
    </xf>
    <xf numFmtId="4" fontId="1" fillId="0" borderId="1" xfId="5" applyNumberFormat="1" applyFont="1" applyFill="1" applyBorder="1" applyAlignment="1" applyProtection="1">
      <alignment horizontal="right" vertical="center"/>
      <protection locked="0"/>
    </xf>
    <xf numFmtId="166" fontId="1" fillId="0" borderId="1" xfId="5" applyNumberFormat="1" applyFont="1" applyFill="1" applyBorder="1" applyAlignment="1" applyProtection="1">
      <alignment horizontal="right" vertical="center"/>
      <protection locked="0"/>
    </xf>
    <xf numFmtId="1" fontId="1" fillId="0" borderId="1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center" vertical="center"/>
      <protection locked="0"/>
    </xf>
    <xf numFmtId="4" fontId="1" fillId="0" borderId="1" xfId="5" applyNumberFormat="1" applyFont="1" applyFill="1" applyBorder="1" applyAlignment="1">
      <alignment vertical="center"/>
    </xf>
    <xf numFmtId="166" fontId="1" fillId="0" borderId="1" xfId="1" applyNumberFormat="1" applyFont="1" applyFill="1" applyBorder="1" applyAlignment="1">
      <alignment vertical="center"/>
    </xf>
    <xf numFmtId="4" fontId="1" fillId="0" borderId="1" xfId="5" applyNumberFormat="1" applyFont="1" applyFill="1" applyBorder="1" applyAlignment="1" applyProtection="1">
      <alignment vertical="center"/>
      <protection locked="0"/>
    </xf>
    <xf numFmtId="4" fontId="1" fillId="0" borderId="1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center" vertical="center"/>
    </xf>
    <xf numFmtId="3" fontId="1" fillId="0" borderId="1" xfId="5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18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Border="1" applyAlignment="1">
      <alignment vertical="center"/>
    </xf>
    <xf numFmtId="3" fontId="18" fillId="0" borderId="0" xfId="3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 applyProtection="1">
      <alignment horizontal="right" vertical="center"/>
      <protection locked="0"/>
    </xf>
    <xf numFmtId="3" fontId="15" fillId="0" borderId="0" xfId="3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</cellXfs>
  <cellStyles count="8">
    <cellStyle name="Обычный" xfId="0" builtinId="0"/>
    <cellStyle name="Обычный_XGF98" xfId="6"/>
    <cellStyle name="Обычный_ДГТ-Юля" xfId="1"/>
    <cellStyle name="Обычный_хар ООО К-н 2001г" xfId="7"/>
    <cellStyle name="Обычный_Характеристика РЭУ-8" xfId="2"/>
    <cellStyle name="Финансовый" xfId="3" builtinId="3"/>
    <cellStyle name="Финансовый [0]" xfId="4" builtinId="6"/>
    <cellStyle name="Финансовый_ДГТ-Юля" xfId="5"/>
  </cellStyles>
  <dxfs count="0"/>
  <tableStyles count="0" defaultTableStyle="TableStyleMedium9" defaultPivotStyle="PivotStyleLight16"/>
  <colors>
    <mruColors>
      <color rgb="FF00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DY119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"/>
    </sheetView>
  </sheetViews>
  <sheetFormatPr defaultColWidth="9.109375" defaultRowHeight="13.2" outlineLevelRow="1" outlineLevelCol="1"/>
  <cols>
    <col min="1" max="1" width="11.33203125" style="13" hidden="1" customWidth="1" outlineLevel="1"/>
    <col min="2" max="2" width="5.109375" style="19" bestFit="1" customWidth="1" collapsed="1"/>
    <col min="3" max="3" width="34.109375" style="13" customWidth="1"/>
    <col min="4" max="4" width="6.44140625" style="13" customWidth="1"/>
    <col min="5" max="5" width="8.33203125" style="13" customWidth="1" outlineLevel="1"/>
    <col min="6" max="6" width="11.6640625" style="13" customWidth="1"/>
    <col min="7" max="7" width="5" style="13" customWidth="1"/>
    <col min="8" max="8" width="9.6640625" style="19" customWidth="1"/>
    <col min="9" max="9" width="7" style="19" customWidth="1"/>
    <col min="10" max="10" width="11.44140625" style="13" customWidth="1" outlineLevel="1"/>
    <col min="11" max="11" width="10.109375" style="13" customWidth="1" outlineLevel="1"/>
    <col min="12" max="12" width="10.33203125" style="13" customWidth="1" outlineLevel="1"/>
    <col min="13" max="13" width="8.77734375" style="13" customWidth="1" outlineLevel="1"/>
    <col min="14" max="15" width="8.33203125" style="13" customWidth="1"/>
    <col min="16" max="16" width="8.77734375" style="13" customWidth="1" outlineLevel="1"/>
    <col min="17" max="17" width="9.109375" style="13" customWidth="1"/>
    <col min="18" max="19" width="11.6640625" style="78" customWidth="1"/>
    <col min="20" max="20" width="10.109375" style="13" customWidth="1" outlineLevel="1"/>
    <col min="21" max="21" width="10" style="13" customWidth="1" outlineLevel="1"/>
    <col min="22" max="22" width="9.44140625" style="13" customWidth="1" outlineLevel="1"/>
    <col min="23" max="23" width="7.77734375" style="13" customWidth="1" outlineLevel="1"/>
    <col min="24" max="24" width="10.6640625" style="13" customWidth="1" outlineLevel="1"/>
    <col min="25" max="25" width="9.77734375" style="13" customWidth="1" outlineLevel="1"/>
    <col min="26" max="28" width="7.77734375" style="13" customWidth="1" outlineLevel="1"/>
    <col min="29" max="29" width="13.33203125" style="13" customWidth="1"/>
    <col min="30" max="30" width="10.109375" style="78" customWidth="1"/>
    <col min="31" max="31" width="10.33203125" style="13" customWidth="1"/>
    <col min="32" max="32" width="10" style="13" customWidth="1"/>
    <col min="33" max="34" width="11.77734375" style="13" customWidth="1"/>
    <col min="35" max="35" width="12.77734375" style="13" customWidth="1"/>
    <col min="36" max="36" width="4.109375" style="13" customWidth="1" outlineLevel="1"/>
    <col min="37" max="37" width="4.77734375" style="13" customWidth="1" outlineLevel="1"/>
    <col min="38" max="41" width="7" style="13" customWidth="1" outlineLevel="1"/>
    <col min="42" max="42" width="9.44140625" style="13" customWidth="1" outlineLevel="1"/>
    <col min="43" max="44" width="8.33203125" style="13" customWidth="1" outlineLevel="1"/>
    <col min="45" max="45" width="8.33203125" style="19" customWidth="1" outlineLevel="1"/>
    <col min="46" max="46" width="10" style="13" customWidth="1" outlineLevel="1"/>
    <col min="47" max="49" width="11.77734375" style="13" customWidth="1" outlineLevel="1"/>
    <col min="50" max="50" width="10" style="13" customWidth="1" outlineLevel="1"/>
    <col min="51" max="51" width="8.33203125" style="13" customWidth="1" outlineLevel="1"/>
    <col min="52" max="52" width="10.6640625" style="13" customWidth="1" outlineLevel="1"/>
    <col min="53" max="53" width="8.109375" style="13" customWidth="1" outlineLevel="1"/>
    <col min="54" max="54" width="7.6640625" style="13" customWidth="1" outlineLevel="1"/>
    <col min="55" max="55" width="7.33203125" style="13" customWidth="1" outlineLevel="1"/>
    <col min="56" max="56" width="8.44140625" style="13" customWidth="1" outlineLevel="1"/>
    <col min="57" max="57" width="10" style="13" customWidth="1" outlineLevel="1"/>
    <col min="58" max="58" width="7" style="13" customWidth="1" outlineLevel="1"/>
    <col min="59" max="59" width="10.109375" style="13" customWidth="1" outlineLevel="1"/>
    <col min="60" max="60" width="11" style="13" customWidth="1" outlineLevel="1"/>
    <col min="61" max="61" width="10.6640625" style="13" customWidth="1" outlineLevel="1"/>
    <col min="62" max="62" width="5.109375" style="13" customWidth="1"/>
    <col min="63" max="63" width="10.44140625" style="13" customWidth="1"/>
    <col min="64" max="64" width="9.109375" style="13" customWidth="1"/>
    <col min="65" max="65" width="4.6640625" style="13" customWidth="1"/>
    <col min="66" max="66" width="11.109375" style="13" customWidth="1"/>
    <col min="67" max="67" width="9.109375" style="13" customWidth="1"/>
    <col min="68" max="68" width="5.6640625" style="13" customWidth="1"/>
    <col min="69" max="70" width="9.109375" style="13" customWidth="1"/>
    <col min="71" max="72" width="9" style="13" customWidth="1" outlineLevel="1"/>
    <col min="73" max="73" width="10.33203125" style="13" customWidth="1" outlineLevel="1"/>
    <col min="74" max="74" width="11.44140625" style="13" customWidth="1" outlineLevel="1"/>
    <col min="75" max="75" width="7.6640625" style="13" customWidth="1" outlineLevel="1"/>
    <col min="76" max="76" width="9.77734375" style="13" customWidth="1" outlineLevel="1"/>
    <col min="77" max="78" width="13" style="13" customWidth="1" outlineLevel="1"/>
    <col min="79" max="80" width="11.109375" style="13" customWidth="1"/>
    <col min="81" max="81" width="9.109375" style="13" customWidth="1"/>
    <col min="82" max="82" width="9.77734375" style="13" customWidth="1"/>
    <col min="83" max="83" width="6.77734375" style="13" customWidth="1"/>
    <col min="84" max="84" width="9.77734375" style="13" customWidth="1"/>
    <col min="85" max="85" width="8.33203125" style="13" customWidth="1"/>
    <col min="86" max="86" width="9.77734375" style="13" customWidth="1"/>
    <col min="87" max="88" width="9.109375" style="13" customWidth="1"/>
    <col min="89" max="89" width="10.33203125" style="13" customWidth="1"/>
    <col min="90" max="92" width="11.44140625" style="205" customWidth="1"/>
    <col min="93" max="93" width="13.77734375" style="205" customWidth="1"/>
    <col min="94" max="104" width="6.6640625" style="13" customWidth="1"/>
    <col min="105" max="105" width="8.109375" style="13" customWidth="1"/>
    <col min="106" max="107" width="6.6640625" style="13" customWidth="1"/>
    <col min="108" max="108" width="9.109375" style="13" customWidth="1"/>
    <col min="109" max="121" width="6.6640625" style="13" customWidth="1"/>
    <col min="122" max="122" width="4.44140625" style="13" customWidth="1"/>
    <col min="123" max="126" width="9.109375" style="13" customWidth="1"/>
    <col min="127" max="127" width="9.109375" style="13"/>
    <col min="128" max="128" width="13.77734375" style="13" customWidth="1"/>
    <col min="129" max="16384" width="9.109375" style="13"/>
  </cols>
  <sheetData>
    <row r="1" spans="1:129" ht="16.2">
      <c r="B1" s="14"/>
      <c r="C1" s="15" t="s">
        <v>182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6"/>
      <c r="P1" s="16"/>
      <c r="Q1" s="16"/>
      <c r="R1" s="17"/>
      <c r="S1" s="17"/>
      <c r="T1" s="16"/>
      <c r="U1" s="16"/>
      <c r="V1" s="14"/>
      <c r="W1" s="18"/>
      <c r="X1" s="18"/>
      <c r="Y1" s="18"/>
      <c r="Z1" s="18"/>
      <c r="AA1" s="18"/>
      <c r="AB1" s="18"/>
      <c r="AD1" s="17"/>
      <c r="AE1" s="16"/>
      <c r="AF1" s="16"/>
      <c r="AG1" s="16"/>
      <c r="AH1" s="16"/>
      <c r="AI1" s="18"/>
      <c r="AJ1" s="16"/>
      <c r="AK1" s="16"/>
      <c r="AL1" s="16"/>
      <c r="AM1" s="16"/>
      <c r="AN1" s="16"/>
      <c r="CP1" s="206" t="s">
        <v>166</v>
      </c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</row>
    <row r="2" spans="1:129" ht="57.75" customHeight="1">
      <c r="A2" s="162" t="s">
        <v>66</v>
      </c>
      <c r="B2" s="168" t="s">
        <v>0</v>
      </c>
      <c r="C2" s="169" t="s">
        <v>4</v>
      </c>
      <c r="D2" s="149" t="s">
        <v>31</v>
      </c>
      <c r="E2" s="149"/>
      <c r="F2" s="149" t="s">
        <v>159</v>
      </c>
      <c r="G2" s="149" t="s">
        <v>113</v>
      </c>
      <c r="H2" s="170" t="s">
        <v>32</v>
      </c>
      <c r="I2" s="170" t="s">
        <v>33</v>
      </c>
      <c r="J2" s="149" t="s">
        <v>34</v>
      </c>
      <c r="K2" s="149" t="s">
        <v>35</v>
      </c>
      <c r="L2" s="169" t="s">
        <v>2</v>
      </c>
      <c r="M2" s="169"/>
      <c r="N2" s="169" t="s">
        <v>3</v>
      </c>
      <c r="O2" s="169"/>
      <c r="P2" s="169"/>
      <c r="Q2" s="169"/>
      <c r="R2" s="174" t="s">
        <v>99</v>
      </c>
      <c r="S2" s="175"/>
      <c r="T2" s="175"/>
      <c r="U2" s="175"/>
      <c r="V2" s="175"/>
      <c r="W2" s="175"/>
      <c r="X2" s="175"/>
      <c r="Y2" s="175"/>
      <c r="Z2" s="175"/>
      <c r="AA2" s="175"/>
      <c r="AB2" s="176"/>
      <c r="AC2" s="177" t="s">
        <v>100</v>
      </c>
      <c r="AD2" s="178"/>
      <c r="AE2" s="178"/>
      <c r="AF2" s="178"/>
      <c r="AG2" s="178"/>
      <c r="AH2" s="179"/>
      <c r="AI2" s="169" t="s">
        <v>63</v>
      </c>
      <c r="AJ2" s="165" t="s">
        <v>45</v>
      </c>
      <c r="AK2" s="165" t="s">
        <v>46</v>
      </c>
      <c r="AL2" s="165" t="s">
        <v>47</v>
      </c>
      <c r="AM2" s="165" t="s">
        <v>48</v>
      </c>
      <c r="AN2" s="165" t="s">
        <v>49</v>
      </c>
      <c r="AO2" s="165" t="s">
        <v>50</v>
      </c>
      <c r="AP2" s="152" t="s">
        <v>131</v>
      </c>
      <c r="AQ2" s="152" t="s">
        <v>132</v>
      </c>
      <c r="AR2" s="152" t="s">
        <v>51</v>
      </c>
      <c r="AS2" s="152" t="s">
        <v>133</v>
      </c>
      <c r="AT2" s="152" t="s">
        <v>52</v>
      </c>
      <c r="AU2" s="150" t="s">
        <v>101</v>
      </c>
      <c r="AV2" s="150"/>
      <c r="AW2" s="150"/>
      <c r="AX2" s="152" t="s">
        <v>53</v>
      </c>
      <c r="AY2" s="152" t="s">
        <v>54</v>
      </c>
      <c r="AZ2" s="152" t="s">
        <v>134</v>
      </c>
      <c r="BA2" s="152" t="s">
        <v>135</v>
      </c>
      <c r="BB2" s="152" t="s">
        <v>55</v>
      </c>
      <c r="BC2" s="152" t="s">
        <v>56</v>
      </c>
      <c r="BD2" s="152" t="s">
        <v>57</v>
      </c>
      <c r="BE2" s="152" t="s">
        <v>58</v>
      </c>
      <c r="BF2" s="152" t="s">
        <v>59</v>
      </c>
      <c r="BG2" s="184" t="s">
        <v>60</v>
      </c>
      <c r="BH2" s="185"/>
      <c r="BI2" s="186"/>
      <c r="BJ2" s="201" t="s">
        <v>19</v>
      </c>
      <c r="BK2" s="201"/>
      <c r="BL2" s="201"/>
      <c r="BM2" s="201" t="s">
        <v>21</v>
      </c>
      <c r="BN2" s="201"/>
      <c r="BO2" s="201"/>
      <c r="BP2" s="201" t="s">
        <v>106</v>
      </c>
      <c r="BQ2" s="201"/>
      <c r="BR2" s="201"/>
      <c r="BS2" s="150" t="s">
        <v>22</v>
      </c>
      <c r="BT2" s="150"/>
      <c r="BU2" s="152" t="s">
        <v>136</v>
      </c>
      <c r="BV2" s="152" t="s">
        <v>23</v>
      </c>
      <c r="BW2" s="152" t="s">
        <v>24</v>
      </c>
      <c r="BX2" s="149" t="s">
        <v>137</v>
      </c>
      <c r="BY2" s="156" t="s">
        <v>160</v>
      </c>
      <c r="BZ2" s="157"/>
      <c r="CA2" s="202" t="s">
        <v>115</v>
      </c>
      <c r="CB2" s="165" t="s">
        <v>44</v>
      </c>
      <c r="CC2" s="150" t="s">
        <v>111</v>
      </c>
      <c r="CD2" s="150"/>
      <c r="CE2" s="150" t="s">
        <v>112</v>
      </c>
      <c r="CF2" s="150"/>
      <c r="CG2" s="150" t="s">
        <v>42</v>
      </c>
      <c r="CH2" s="151"/>
      <c r="CI2" s="196" t="s">
        <v>181</v>
      </c>
      <c r="CJ2" s="207" t="s">
        <v>169</v>
      </c>
      <c r="CK2" s="208"/>
      <c r="CL2" s="208"/>
      <c r="CM2" s="208"/>
      <c r="CN2" s="208"/>
      <c r="CO2" s="209"/>
      <c r="CP2" s="169" t="s">
        <v>139</v>
      </c>
      <c r="CQ2" s="169"/>
      <c r="CR2" s="169"/>
      <c r="CS2" s="169"/>
      <c r="CT2" s="169" t="s">
        <v>140</v>
      </c>
      <c r="CU2" s="169"/>
      <c r="CV2" s="169"/>
      <c r="CW2" s="169"/>
      <c r="CX2" s="149" t="s">
        <v>141</v>
      </c>
      <c r="CY2" s="210" t="s">
        <v>142</v>
      </c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</row>
    <row r="3" spans="1:129" ht="27" customHeight="1">
      <c r="A3" s="163"/>
      <c r="B3" s="168"/>
      <c r="C3" s="169"/>
      <c r="D3" s="149"/>
      <c r="E3" s="149"/>
      <c r="F3" s="149"/>
      <c r="G3" s="149"/>
      <c r="H3" s="170"/>
      <c r="I3" s="170"/>
      <c r="J3" s="149"/>
      <c r="K3" s="149"/>
      <c r="L3" s="149" t="s">
        <v>36</v>
      </c>
      <c r="M3" s="149" t="s">
        <v>37</v>
      </c>
      <c r="N3" s="149" t="s">
        <v>38</v>
      </c>
      <c r="O3" s="149" t="s">
        <v>39</v>
      </c>
      <c r="P3" s="149" t="s">
        <v>121</v>
      </c>
      <c r="Q3" s="149" t="s">
        <v>40</v>
      </c>
      <c r="R3" s="198" t="s">
        <v>42</v>
      </c>
      <c r="S3" s="199"/>
      <c r="T3" s="150" t="s">
        <v>97</v>
      </c>
      <c r="U3" s="150"/>
      <c r="V3" s="150"/>
      <c r="W3" s="150" t="s">
        <v>98</v>
      </c>
      <c r="X3" s="150"/>
      <c r="Y3" s="150"/>
      <c r="Z3" s="150" t="s">
        <v>119</v>
      </c>
      <c r="AA3" s="150"/>
      <c r="AB3" s="150"/>
      <c r="AC3" s="150" t="s">
        <v>120</v>
      </c>
      <c r="AD3" s="180" t="s">
        <v>98</v>
      </c>
      <c r="AE3" s="180"/>
      <c r="AF3" s="180"/>
      <c r="AG3" s="150" t="s">
        <v>97</v>
      </c>
      <c r="AH3" s="150" t="s">
        <v>119</v>
      </c>
      <c r="AI3" s="169"/>
      <c r="AJ3" s="166"/>
      <c r="AK3" s="166"/>
      <c r="AL3" s="166"/>
      <c r="AM3" s="166"/>
      <c r="AN3" s="166"/>
      <c r="AO3" s="166"/>
      <c r="AP3" s="153"/>
      <c r="AQ3" s="153"/>
      <c r="AR3" s="153"/>
      <c r="AS3" s="153"/>
      <c r="AT3" s="153"/>
      <c r="AU3" s="182" t="s">
        <v>1</v>
      </c>
      <c r="AV3" s="194" t="s">
        <v>61</v>
      </c>
      <c r="AW3" s="195"/>
      <c r="AX3" s="153"/>
      <c r="AY3" s="153"/>
      <c r="AZ3" s="153"/>
      <c r="BA3" s="153"/>
      <c r="BB3" s="153"/>
      <c r="BC3" s="153"/>
      <c r="BD3" s="153"/>
      <c r="BE3" s="153"/>
      <c r="BF3" s="153"/>
      <c r="BG3" s="187"/>
      <c r="BH3" s="188"/>
      <c r="BI3" s="189"/>
      <c r="BJ3" s="155" t="s">
        <v>20</v>
      </c>
      <c r="BK3" s="150" t="s">
        <v>64</v>
      </c>
      <c r="BL3" s="150" t="s">
        <v>65</v>
      </c>
      <c r="BM3" s="155" t="s">
        <v>20</v>
      </c>
      <c r="BN3" s="150" t="s">
        <v>64</v>
      </c>
      <c r="BO3" s="150" t="s">
        <v>65</v>
      </c>
      <c r="BP3" s="155" t="s">
        <v>20</v>
      </c>
      <c r="BQ3" s="150" t="s">
        <v>64</v>
      </c>
      <c r="BR3" s="150" t="s">
        <v>65</v>
      </c>
      <c r="BS3" s="150"/>
      <c r="BT3" s="150"/>
      <c r="BU3" s="153"/>
      <c r="BV3" s="153"/>
      <c r="BW3" s="153"/>
      <c r="BX3" s="149"/>
      <c r="BY3" s="158"/>
      <c r="BZ3" s="159"/>
      <c r="CA3" s="203"/>
      <c r="CB3" s="166"/>
      <c r="CC3" s="150"/>
      <c r="CD3" s="150"/>
      <c r="CE3" s="150"/>
      <c r="CF3" s="150"/>
      <c r="CG3" s="150"/>
      <c r="CH3" s="151"/>
      <c r="CI3" s="196"/>
      <c r="CJ3" s="211" t="s">
        <v>167</v>
      </c>
      <c r="CK3" s="211"/>
      <c r="CL3" s="211"/>
      <c r="CM3" s="211" t="s">
        <v>168</v>
      </c>
      <c r="CN3" s="211"/>
      <c r="CO3" s="211"/>
      <c r="CP3" s="169"/>
      <c r="CQ3" s="169"/>
      <c r="CR3" s="169"/>
      <c r="CS3" s="169"/>
      <c r="CT3" s="169"/>
      <c r="CU3" s="169"/>
      <c r="CV3" s="169"/>
      <c r="CW3" s="169"/>
      <c r="CX3" s="149"/>
      <c r="CY3" s="212" t="s">
        <v>138</v>
      </c>
      <c r="CZ3" s="169" t="s">
        <v>143</v>
      </c>
      <c r="DA3" s="169"/>
      <c r="DB3" s="213" t="s">
        <v>144</v>
      </c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169" t="s">
        <v>145</v>
      </c>
      <c r="DQ3" s="169"/>
    </row>
    <row r="4" spans="1:129" ht="12.75" customHeight="1">
      <c r="A4" s="163"/>
      <c r="B4" s="168"/>
      <c r="C4" s="169"/>
      <c r="D4" s="149"/>
      <c r="E4" s="149"/>
      <c r="F4" s="149"/>
      <c r="G4" s="149"/>
      <c r="H4" s="170"/>
      <c r="I4" s="170"/>
      <c r="J4" s="149"/>
      <c r="K4" s="149"/>
      <c r="L4" s="149"/>
      <c r="M4" s="149"/>
      <c r="N4" s="149"/>
      <c r="O4" s="149"/>
      <c r="P4" s="149"/>
      <c r="Q4" s="149"/>
      <c r="R4" s="171" t="s">
        <v>43</v>
      </c>
      <c r="S4" s="171"/>
      <c r="T4" s="172" t="s">
        <v>38</v>
      </c>
      <c r="U4" s="171" t="s">
        <v>43</v>
      </c>
      <c r="V4" s="171"/>
      <c r="W4" s="172" t="s">
        <v>38</v>
      </c>
      <c r="X4" s="171" t="s">
        <v>43</v>
      </c>
      <c r="Y4" s="171"/>
      <c r="Z4" s="172" t="s">
        <v>38</v>
      </c>
      <c r="AA4" s="171" t="s">
        <v>43</v>
      </c>
      <c r="AB4" s="171"/>
      <c r="AC4" s="150"/>
      <c r="AD4" s="181" t="s">
        <v>42</v>
      </c>
      <c r="AE4" s="181" t="s">
        <v>116</v>
      </c>
      <c r="AF4" s="181"/>
      <c r="AG4" s="150"/>
      <c r="AH4" s="150"/>
      <c r="AI4" s="169"/>
      <c r="AJ4" s="166"/>
      <c r="AK4" s="166"/>
      <c r="AL4" s="166"/>
      <c r="AM4" s="166"/>
      <c r="AN4" s="166"/>
      <c r="AO4" s="166"/>
      <c r="AP4" s="153"/>
      <c r="AQ4" s="153"/>
      <c r="AR4" s="153"/>
      <c r="AS4" s="153"/>
      <c r="AT4" s="153"/>
      <c r="AU4" s="193"/>
      <c r="AV4" s="182" t="s">
        <v>8</v>
      </c>
      <c r="AW4" s="182" t="s">
        <v>9</v>
      </c>
      <c r="AX4" s="153"/>
      <c r="AY4" s="153"/>
      <c r="AZ4" s="153"/>
      <c r="BA4" s="153"/>
      <c r="BB4" s="153"/>
      <c r="BC4" s="153"/>
      <c r="BD4" s="153"/>
      <c r="BE4" s="153"/>
      <c r="BF4" s="153"/>
      <c r="BG4" s="190"/>
      <c r="BH4" s="191"/>
      <c r="BI4" s="192"/>
      <c r="BJ4" s="155"/>
      <c r="BK4" s="150"/>
      <c r="BL4" s="150"/>
      <c r="BM4" s="155"/>
      <c r="BN4" s="150"/>
      <c r="BO4" s="150"/>
      <c r="BP4" s="155"/>
      <c r="BQ4" s="150"/>
      <c r="BR4" s="150"/>
      <c r="BS4" s="143" t="s">
        <v>25</v>
      </c>
      <c r="BT4" s="143" t="s">
        <v>26</v>
      </c>
      <c r="BU4" s="153"/>
      <c r="BV4" s="153"/>
      <c r="BW4" s="153"/>
      <c r="BX4" s="149"/>
      <c r="BY4" s="160"/>
      <c r="BZ4" s="161"/>
      <c r="CA4" s="203"/>
      <c r="CB4" s="166"/>
      <c r="CC4" s="150"/>
      <c r="CD4" s="150"/>
      <c r="CE4" s="150"/>
      <c r="CF4" s="150"/>
      <c r="CG4" s="150"/>
      <c r="CH4" s="151"/>
      <c r="CI4" s="196"/>
      <c r="CJ4" s="211"/>
      <c r="CK4" s="211"/>
      <c r="CL4" s="211"/>
      <c r="CM4" s="211"/>
      <c r="CN4" s="211"/>
      <c r="CO4" s="211"/>
      <c r="CP4" s="149" t="s">
        <v>146</v>
      </c>
      <c r="CQ4" s="149" t="s">
        <v>147</v>
      </c>
      <c r="CR4" s="149" t="s">
        <v>148</v>
      </c>
      <c r="CS4" s="149" t="s">
        <v>149</v>
      </c>
      <c r="CT4" s="149" t="s">
        <v>146</v>
      </c>
      <c r="CU4" s="149" t="s">
        <v>147</v>
      </c>
      <c r="CV4" s="149" t="s">
        <v>148</v>
      </c>
      <c r="CW4" s="149" t="s">
        <v>149</v>
      </c>
      <c r="CX4" s="149"/>
      <c r="CY4" s="212"/>
      <c r="CZ4" s="149" t="s">
        <v>150</v>
      </c>
      <c r="DA4" s="149" t="s">
        <v>151</v>
      </c>
      <c r="DB4" s="213" t="s">
        <v>150</v>
      </c>
      <c r="DC4" s="213"/>
      <c r="DD4" s="213"/>
      <c r="DE4" s="213"/>
      <c r="DF4" s="213"/>
      <c r="DG4" s="213"/>
      <c r="DH4" s="213"/>
      <c r="DI4" s="213" t="s">
        <v>151</v>
      </c>
      <c r="DJ4" s="213"/>
      <c r="DK4" s="213"/>
      <c r="DL4" s="213"/>
      <c r="DM4" s="213"/>
      <c r="DN4" s="213"/>
      <c r="DO4" s="213"/>
      <c r="DP4" s="169"/>
      <c r="DQ4" s="169"/>
    </row>
    <row r="5" spans="1:129" ht="63.75" customHeight="1">
      <c r="A5" s="164"/>
      <c r="B5" s="168"/>
      <c r="C5" s="169"/>
      <c r="D5" s="149"/>
      <c r="E5" s="149"/>
      <c r="F5" s="149"/>
      <c r="G5" s="149"/>
      <c r="H5" s="170"/>
      <c r="I5" s="170"/>
      <c r="J5" s="149"/>
      <c r="K5" s="149"/>
      <c r="L5" s="149"/>
      <c r="M5" s="149"/>
      <c r="N5" s="149"/>
      <c r="O5" s="149"/>
      <c r="P5" s="149"/>
      <c r="Q5" s="149"/>
      <c r="R5" s="21" t="s">
        <v>41</v>
      </c>
      <c r="S5" s="21" t="s">
        <v>5</v>
      </c>
      <c r="T5" s="173"/>
      <c r="U5" s="145" t="s">
        <v>41</v>
      </c>
      <c r="V5" s="145" t="s">
        <v>5</v>
      </c>
      <c r="W5" s="173"/>
      <c r="X5" s="145" t="s">
        <v>41</v>
      </c>
      <c r="Y5" s="145" t="s">
        <v>5</v>
      </c>
      <c r="Z5" s="173"/>
      <c r="AA5" s="145" t="s">
        <v>41</v>
      </c>
      <c r="AB5" s="145" t="s">
        <v>5</v>
      </c>
      <c r="AC5" s="150"/>
      <c r="AD5" s="181"/>
      <c r="AE5" s="147" t="s">
        <v>117</v>
      </c>
      <c r="AF5" s="146" t="s">
        <v>118</v>
      </c>
      <c r="AG5" s="150"/>
      <c r="AH5" s="150"/>
      <c r="AI5" s="169"/>
      <c r="AJ5" s="167"/>
      <c r="AK5" s="167"/>
      <c r="AL5" s="167"/>
      <c r="AM5" s="167"/>
      <c r="AN5" s="167"/>
      <c r="AO5" s="167"/>
      <c r="AP5" s="154"/>
      <c r="AQ5" s="154"/>
      <c r="AR5" s="154"/>
      <c r="AS5" s="154"/>
      <c r="AT5" s="154"/>
      <c r="AU5" s="183"/>
      <c r="AV5" s="183"/>
      <c r="AW5" s="183"/>
      <c r="AX5" s="154"/>
      <c r="AY5" s="154"/>
      <c r="AZ5" s="154"/>
      <c r="BA5" s="154"/>
      <c r="BB5" s="154"/>
      <c r="BC5" s="154"/>
      <c r="BD5" s="154"/>
      <c r="BE5" s="154"/>
      <c r="BF5" s="154"/>
      <c r="BG5" s="1" t="s">
        <v>62</v>
      </c>
      <c r="BH5" s="1" t="s">
        <v>6</v>
      </c>
      <c r="BI5" s="2" t="s">
        <v>7</v>
      </c>
      <c r="BJ5" s="155"/>
      <c r="BK5" s="150"/>
      <c r="BL5" s="150"/>
      <c r="BM5" s="155"/>
      <c r="BN5" s="150"/>
      <c r="BO5" s="150"/>
      <c r="BP5" s="155"/>
      <c r="BQ5" s="150"/>
      <c r="BR5" s="150"/>
      <c r="BS5" s="22"/>
      <c r="BT5" s="22"/>
      <c r="BU5" s="154"/>
      <c r="BV5" s="154"/>
      <c r="BW5" s="154"/>
      <c r="BX5" s="149"/>
      <c r="BY5" s="81" t="s">
        <v>161</v>
      </c>
      <c r="BZ5" s="81" t="s">
        <v>162</v>
      </c>
      <c r="CA5" s="204"/>
      <c r="CB5" s="167"/>
      <c r="CC5" s="143" t="s">
        <v>113</v>
      </c>
      <c r="CD5" s="143" t="s">
        <v>114</v>
      </c>
      <c r="CE5" s="143" t="s">
        <v>113</v>
      </c>
      <c r="CF5" s="143" t="s">
        <v>114</v>
      </c>
      <c r="CG5" s="143" t="s">
        <v>113</v>
      </c>
      <c r="CH5" s="148" t="s">
        <v>114</v>
      </c>
      <c r="CI5" s="196"/>
      <c r="CJ5" s="214" t="s">
        <v>113</v>
      </c>
      <c r="CK5" s="214" t="s">
        <v>170</v>
      </c>
      <c r="CL5" s="215" t="s">
        <v>183</v>
      </c>
      <c r="CM5" s="214" t="s">
        <v>113</v>
      </c>
      <c r="CN5" s="214" t="s">
        <v>171</v>
      </c>
      <c r="CO5" s="215" t="s">
        <v>184</v>
      </c>
      <c r="CP5" s="149"/>
      <c r="CQ5" s="149"/>
      <c r="CR5" s="149"/>
      <c r="CS5" s="149"/>
      <c r="CT5" s="149"/>
      <c r="CU5" s="149"/>
      <c r="CV5" s="149"/>
      <c r="CW5" s="149"/>
      <c r="CX5" s="149"/>
      <c r="CY5" s="212"/>
      <c r="CZ5" s="149"/>
      <c r="DA5" s="149"/>
      <c r="DB5" s="216" t="s">
        <v>152</v>
      </c>
      <c r="DC5" s="216" t="s">
        <v>153</v>
      </c>
      <c r="DD5" s="144" t="s">
        <v>154</v>
      </c>
      <c r="DE5" s="144" t="s">
        <v>155</v>
      </c>
      <c r="DF5" s="216" t="s">
        <v>156</v>
      </c>
      <c r="DG5" s="144" t="s">
        <v>154</v>
      </c>
      <c r="DH5" s="144" t="s">
        <v>155</v>
      </c>
      <c r="DI5" s="216" t="s">
        <v>152</v>
      </c>
      <c r="DJ5" s="216" t="s">
        <v>153</v>
      </c>
      <c r="DK5" s="144" t="s">
        <v>154</v>
      </c>
      <c r="DL5" s="144" t="s">
        <v>155</v>
      </c>
      <c r="DM5" s="216" t="s">
        <v>156</v>
      </c>
      <c r="DN5" s="144" t="s">
        <v>154</v>
      </c>
      <c r="DO5" s="144" t="s">
        <v>155</v>
      </c>
      <c r="DP5" s="144" t="s">
        <v>146</v>
      </c>
      <c r="DQ5" s="144" t="s">
        <v>157</v>
      </c>
    </row>
    <row r="6" spans="1:129">
      <c r="A6" s="110"/>
      <c r="B6" s="110"/>
      <c r="C6" s="110">
        <v>1</v>
      </c>
      <c r="D6" s="110">
        <v>2</v>
      </c>
      <c r="E6" s="110"/>
      <c r="F6" s="110">
        <v>4</v>
      </c>
      <c r="G6" s="110">
        <v>5</v>
      </c>
      <c r="H6" s="110">
        <v>6</v>
      </c>
      <c r="I6" s="110">
        <v>7</v>
      </c>
      <c r="J6" s="110">
        <v>8</v>
      </c>
      <c r="K6" s="110">
        <v>9</v>
      </c>
      <c r="L6" s="110">
        <v>10</v>
      </c>
      <c r="M6" s="110">
        <v>11</v>
      </c>
      <c r="N6" s="110">
        <v>12</v>
      </c>
      <c r="O6" s="110">
        <v>13</v>
      </c>
      <c r="P6" s="110">
        <v>14</v>
      </c>
      <c r="Q6" s="110">
        <v>15</v>
      </c>
      <c r="R6" s="110">
        <v>16</v>
      </c>
      <c r="S6" s="110">
        <v>17</v>
      </c>
      <c r="T6" s="110">
        <v>18</v>
      </c>
      <c r="U6" s="110">
        <v>19</v>
      </c>
      <c r="V6" s="110">
        <v>20</v>
      </c>
      <c r="W6" s="110">
        <v>21</v>
      </c>
      <c r="X6" s="110">
        <v>22</v>
      </c>
      <c r="Y6" s="110">
        <v>23</v>
      </c>
      <c r="Z6" s="110">
        <v>24</v>
      </c>
      <c r="AA6" s="110">
        <v>25</v>
      </c>
      <c r="AB6" s="110">
        <v>26</v>
      </c>
      <c r="AC6" s="110">
        <v>27</v>
      </c>
      <c r="AD6" s="110">
        <v>28</v>
      </c>
      <c r="AE6" s="110">
        <v>29</v>
      </c>
      <c r="AF6" s="110">
        <v>30</v>
      </c>
      <c r="AG6" s="110">
        <v>31</v>
      </c>
      <c r="AH6" s="110">
        <v>32</v>
      </c>
      <c r="AI6" s="110">
        <v>33</v>
      </c>
      <c r="AJ6" s="110">
        <v>34</v>
      </c>
      <c r="AK6" s="110">
        <v>35</v>
      </c>
      <c r="AL6" s="110">
        <v>36</v>
      </c>
      <c r="AM6" s="110">
        <v>37</v>
      </c>
      <c r="AN6" s="110">
        <v>38</v>
      </c>
      <c r="AO6" s="110">
        <v>39</v>
      </c>
      <c r="AP6" s="110">
        <v>40</v>
      </c>
      <c r="AQ6" s="110">
        <v>41</v>
      </c>
      <c r="AR6" s="110">
        <v>42</v>
      </c>
      <c r="AS6" s="110">
        <v>43</v>
      </c>
      <c r="AT6" s="110">
        <v>44</v>
      </c>
      <c r="AU6" s="110">
        <v>45</v>
      </c>
      <c r="AV6" s="110">
        <v>46</v>
      </c>
      <c r="AW6" s="110">
        <v>47</v>
      </c>
      <c r="AX6" s="110">
        <v>48</v>
      </c>
      <c r="AY6" s="110">
        <v>49</v>
      </c>
      <c r="AZ6" s="110">
        <v>50</v>
      </c>
      <c r="BA6" s="110">
        <v>51</v>
      </c>
      <c r="BB6" s="110">
        <v>52</v>
      </c>
      <c r="BC6" s="110">
        <v>53</v>
      </c>
      <c r="BD6" s="110">
        <v>54</v>
      </c>
      <c r="BE6" s="110">
        <v>55</v>
      </c>
      <c r="BF6" s="110">
        <v>56</v>
      </c>
      <c r="BG6" s="110">
        <v>57</v>
      </c>
      <c r="BH6" s="110">
        <v>58</v>
      </c>
      <c r="BI6" s="110">
        <v>59</v>
      </c>
      <c r="BJ6" s="110">
        <v>60</v>
      </c>
      <c r="BK6" s="110">
        <v>61</v>
      </c>
      <c r="BL6" s="110">
        <v>62</v>
      </c>
      <c r="BM6" s="110">
        <v>63</v>
      </c>
      <c r="BN6" s="110">
        <v>64</v>
      </c>
      <c r="BO6" s="110">
        <v>65</v>
      </c>
      <c r="BP6" s="110">
        <v>66</v>
      </c>
      <c r="BQ6" s="110">
        <v>67</v>
      </c>
      <c r="BR6" s="110">
        <v>68</v>
      </c>
      <c r="BS6" s="110">
        <v>69</v>
      </c>
      <c r="BT6" s="110">
        <v>70</v>
      </c>
      <c r="BU6" s="110">
        <v>71</v>
      </c>
      <c r="BV6" s="110">
        <v>72</v>
      </c>
      <c r="BW6" s="110">
        <v>73</v>
      </c>
      <c r="BX6" s="110">
        <v>74</v>
      </c>
      <c r="BY6" s="110">
        <v>75</v>
      </c>
      <c r="BZ6" s="110">
        <v>76</v>
      </c>
      <c r="CA6" s="110">
        <v>77</v>
      </c>
      <c r="CB6" s="110">
        <v>78</v>
      </c>
      <c r="CC6" s="110">
        <v>79</v>
      </c>
      <c r="CD6" s="110">
        <v>80</v>
      </c>
      <c r="CE6" s="110">
        <v>81</v>
      </c>
      <c r="CF6" s="110">
        <v>82</v>
      </c>
      <c r="CG6" s="110">
        <v>83</v>
      </c>
      <c r="CH6" s="110">
        <v>84</v>
      </c>
      <c r="CI6" s="110">
        <v>85</v>
      </c>
      <c r="CJ6" s="110">
        <v>86</v>
      </c>
      <c r="CK6" s="110">
        <v>87</v>
      </c>
      <c r="CL6" s="110">
        <v>88</v>
      </c>
      <c r="CM6" s="110">
        <v>89</v>
      </c>
      <c r="CN6" s="110">
        <v>90</v>
      </c>
      <c r="CO6" s="110">
        <v>91</v>
      </c>
      <c r="CP6" s="110">
        <v>92</v>
      </c>
      <c r="CQ6" s="110">
        <v>93</v>
      </c>
      <c r="CR6" s="110">
        <v>94</v>
      </c>
      <c r="CS6" s="110">
        <v>95</v>
      </c>
      <c r="CT6" s="110">
        <v>96</v>
      </c>
      <c r="CU6" s="110">
        <v>97</v>
      </c>
      <c r="CV6" s="110">
        <v>98</v>
      </c>
      <c r="CW6" s="110">
        <v>99</v>
      </c>
      <c r="CX6" s="110">
        <v>100</v>
      </c>
      <c r="CY6" s="110">
        <v>101</v>
      </c>
      <c r="CZ6" s="110">
        <v>102</v>
      </c>
      <c r="DA6" s="110">
        <v>103</v>
      </c>
      <c r="DB6" s="110">
        <v>104</v>
      </c>
      <c r="DC6" s="110">
        <v>105</v>
      </c>
      <c r="DD6" s="110">
        <v>106</v>
      </c>
      <c r="DE6" s="110">
        <v>107</v>
      </c>
      <c r="DF6" s="110">
        <v>108</v>
      </c>
      <c r="DG6" s="110">
        <v>109</v>
      </c>
      <c r="DH6" s="110">
        <v>110</v>
      </c>
      <c r="DI6" s="110">
        <v>111</v>
      </c>
      <c r="DJ6" s="110">
        <v>112</v>
      </c>
      <c r="DK6" s="110">
        <v>113</v>
      </c>
      <c r="DL6" s="110">
        <v>114</v>
      </c>
      <c r="DM6" s="110">
        <v>115</v>
      </c>
      <c r="DN6" s="110">
        <v>116</v>
      </c>
      <c r="DO6" s="110">
        <v>117</v>
      </c>
      <c r="DP6" s="110">
        <v>118</v>
      </c>
      <c r="DQ6" s="110">
        <v>119</v>
      </c>
    </row>
    <row r="7" spans="1:129" s="37" customFormat="1">
      <c r="A7" s="24" t="s">
        <v>91</v>
      </c>
      <c r="B7" s="25">
        <v>1</v>
      </c>
      <c r="C7" s="3" t="s">
        <v>180</v>
      </c>
      <c r="D7" s="26">
        <v>1951</v>
      </c>
      <c r="E7" s="27"/>
      <c r="F7" s="27" t="s">
        <v>29</v>
      </c>
      <c r="G7" s="28">
        <v>1</v>
      </c>
      <c r="H7" s="27">
        <v>5</v>
      </c>
      <c r="I7" s="27" t="s">
        <v>96</v>
      </c>
      <c r="J7" s="29">
        <v>29568</v>
      </c>
      <c r="K7" s="29">
        <v>1792</v>
      </c>
      <c r="L7" s="29">
        <v>2217</v>
      </c>
      <c r="M7" s="29">
        <v>0</v>
      </c>
      <c r="N7" s="29">
        <v>66</v>
      </c>
      <c r="O7" s="29">
        <v>196</v>
      </c>
      <c r="P7" s="29">
        <v>67</v>
      </c>
      <c r="Q7" s="6">
        <v>118</v>
      </c>
      <c r="R7" s="38">
        <v>5868.62</v>
      </c>
      <c r="S7" s="32">
        <v>3677.42</v>
      </c>
      <c r="T7" s="12">
        <f>N7-W7-Z7</f>
        <v>54</v>
      </c>
      <c r="U7" s="30">
        <f>R7-X7-AA7</f>
        <v>4876.93</v>
      </c>
      <c r="V7" s="30">
        <f>S7-Y7-AB7</f>
        <v>3070.52</v>
      </c>
      <c r="W7" s="10">
        <v>12</v>
      </c>
      <c r="X7" s="80">
        <v>991.69</v>
      </c>
      <c r="Y7" s="80">
        <v>606.9</v>
      </c>
      <c r="Z7" s="31"/>
      <c r="AA7" s="31"/>
      <c r="AB7" s="31"/>
      <c r="AC7" s="80">
        <f>AD7+AG7+AH7</f>
        <v>0</v>
      </c>
      <c r="AD7" s="38">
        <f>AE7+AF7</f>
        <v>0</v>
      </c>
      <c r="AE7" s="87"/>
      <c r="AF7" s="38"/>
      <c r="AG7" s="87"/>
      <c r="AH7" s="33"/>
      <c r="AI7" s="87">
        <f>R7+AC7</f>
        <v>5868.62</v>
      </c>
      <c r="AJ7" s="29"/>
      <c r="AK7" s="29"/>
      <c r="AL7" s="29">
        <v>3</v>
      </c>
      <c r="AM7" s="29"/>
      <c r="AN7" s="29"/>
      <c r="AO7" s="29">
        <v>1</v>
      </c>
      <c r="AP7" s="29">
        <v>4050</v>
      </c>
      <c r="AQ7" s="29">
        <v>1320</v>
      </c>
      <c r="AR7" s="29">
        <v>335</v>
      </c>
      <c r="AS7" s="29">
        <v>260</v>
      </c>
      <c r="AT7" s="29">
        <v>126</v>
      </c>
      <c r="AU7" s="29">
        <f t="shared" ref="AU7:AU9" si="0">SUM(AV7+AW7)</f>
        <v>2503</v>
      </c>
      <c r="AV7" s="29"/>
      <c r="AW7" s="29">
        <v>2503</v>
      </c>
      <c r="AX7" s="29"/>
      <c r="AY7" s="29">
        <v>118</v>
      </c>
      <c r="AZ7" s="29">
        <v>1792</v>
      </c>
      <c r="BA7" s="29">
        <v>1792</v>
      </c>
      <c r="BB7" s="29">
        <v>14</v>
      </c>
      <c r="BC7" s="29">
        <v>6</v>
      </c>
      <c r="BD7" s="29">
        <v>234</v>
      </c>
      <c r="BE7" s="29">
        <v>201</v>
      </c>
      <c r="BF7" s="29"/>
      <c r="BG7" s="29">
        <v>2668</v>
      </c>
      <c r="BH7" s="29">
        <v>124</v>
      </c>
      <c r="BI7" s="29"/>
      <c r="BJ7" s="98">
        <f>IF((I7="кир"),G7,"0")</f>
        <v>1</v>
      </c>
      <c r="BK7" s="98">
        <f>IF((I7="кир"),R7,"0")</f>
        <v>5868.62</v>
      </c>
      <c r="BL7" s="98">
        <f>IF((I7="кир"),S7,"0")</f>
        <v>3677.42</v>
      </c>
      <c r="BM7" s="98" t="str">
        <f>IF((I7="пан"),G7,"0")</f>
        <v>0</v>
      </c>
      <c r="BN7" s="98" t="str">
        <f>IF((I7="пан"),R7,"0")</f>
        <v>0</v>
      </c>
      <c r="BO7" s="98" t="str">
        <f>IF((I7="пан"),S7,"0")</f>
        <v>0</v>
      </c>
      <c r="BP7" s="98" t="str">
        <f>IF((I7="смеш"),G7,"0")</f>
        <v>0</v>
      </c>
      <c r="BQ7" s="98" t="str">
        <f>IF((I7="смеш"),R7,"0")</f>
        <v>0</v>
      </c>
      <c r="BR7" s="98" t="str">
        <f>IF((I7="смеш"),S7,"0")</f>
        <v>0</v>
      </c>
      <c r="BS7" s="29"/>
      <c r="BT7" s="29">
        <v>2</v>
      </c>
      <c r="BU7" s="29">
        <f>BA7</f>
        <v>1792</v>
      </c>
      <c r="BV7" s="29">
        <v>3301</v>
      </c>
      <c r="BW7" s="29"/>
      <c r="BX7" s="29">
        <f>AP7</f>
        <v>4050</v>
      </c>
      <c r="BY7" s="82">
        <v>609</v>
      </c>
      <c r="BZ7" s="82">
        <v>609</v>
      </c>
      <c r="CA7" s="4">
        <v>3301</v>
      </c>
      <c r="CB7" s="4">
        <f t="shared" ref="CB7:CB53" si="1">CA7-K7</f>
        <v>1509</v>
      </c>
      <c r="CC7" s="34" t="str">
        <f t="shared" ref="CC7:CC22" si="2">IF(CD7&gt;0,G7,"0")</f>
        <v>0</v>
      </c>
      <c r="CD7" s="35">
        <f t="shared" ref="CD7:CD53" si="3">AV7</f>
        <v>0</v>
      </c>
      <c r="CE7" s="34">
        <f t="shared" ref="CE7:CE53" si="4">IF(CF7&gt;0,G7,"0")</f>
        <v>1</v>
      </c>
      <c r="CF7" s="35">
        <f t="shared" ref="CF7:CF53" si="5">AW7</f>
        <v>2503</v>
      </c>
      <c r="CG7" s="35">
        <f>CC7+CE7</f>
        <v>1</v>
      </c>
      <c r="CH7" s="35">
        <f>CD7+CF7</f>
        <v>2503</v>
      </c>
      <c r="CI7" s="36">
        <v>51</v>
      </c>
      <c r="CJ7" s="217" t="str">
        <f>IF((X7/R7*100&gt;=50), G7, "0")</f>
        <v>0</v>
      </c>
      <c r="CK7" s="217" t="str">
        <f>IF((X7/R7*100&gt;=50), R7, "0")</f>
        <v>0</v>
      </c>
      <c r="CL7" s="218">
        <f>X7/R7*100</f>
        <v>16.898180492177037</v>
      </c>
      <c r="CM7" s="219" t="str">
        <f>IF(((X7+AD7)/AI7*100&gt;=50), G7, "0")</f>
        <v>0</v>
      </c>
      <c r="CN7" s="219" t="str">
        <f>IF(((X7+AD7)/AI7*100&gt;=50), AI7, "0")</f>
        <v>0</v>
      </c>
      <c r="CO7" s="218">
        <f>(X7+AD7)/AI7*100</f>
        <v>16.898180492177037</v>
      </c>
      <c r="CP7" s="220">
        <v>1</v>
      </c>
      <c r="CQ7" s="220">
        <v>0</v>
      </c>
      <c r="CR7" s="220">
        <v>0</v>
      </c>
      <c r="CS7" s="220">
        <v>0</v>
      </c>
      <c r="CT7" s="220">
        <v>1</v>
      </c>
      <c r="CU7" s="220">
        <v>0</v>
      </c>
      <c r="CV7" s="220">
        <v>0</v>
      </c>
      <c r="CW7" s="220">
        <v>0</v>
      </c>
      <c r="CX7" s="220">
        <v>0</v>
      </c>
      <c r="CY7" s="92">
        <v>66</v>
      </c>
      <c r="CZ7" s="93">
        <v>54</v>
      </c>
      <c r="DA7" s="92">
        <v>12</v>
      </c>
      <c r="DB7" s="220">
        <v>39</v>
      </c>
      <c r="DC7" s="220">
        <v>23</v>
      </c>
      <c r="DD7" s="220">
        <v>88</v>
      </c>
      <c r="DE7" s="220">
        <v>29</v>
      </c>
      <c r="DF7" s="220">
        <v>23</v>
      </c>
      <c r="DG7" s="220">
        <v>96</v>
      </c>
      <c r="DH7" s="220">
        <v>42</v>
      </c>
      <c r="DI7" s="220">
        <v>4</v>
      </c>
      <c r="DJ7" s="220">
        <v>1</v>
      </c>
      <c r="DK7" s="92">
        <v>8</v>
      </c>
      <c r="DL7" s="220">
        <v>1</v>
      </c>
      <c r="DM7" s="220">
        <v>1</v>
      </c>
      <c r="DN7" s="92">
        <v>9</v>
      </c>
      <c r="DO7" s="220">
        <v>2</v>
      </c>
      <c r="DP7" s="92">
        <f t="shared" ref="DP7:DP53" si="6">CY7</f>
        <v>66</v>
      </c>
      <c r="DQ7" s="220">
        <v>24</v>
      </c>
      <c r="DX7" s="104"/>
      <c r="DY7" s="104"/>
    </row>
    <row r="8" spans="1:129" s="37" customFormat="1">
      <c r="A8" s="24" t="s">
        <v>91</v>
      </c>
      <c r="B8" s="25">
        <v>2</v>
      </c>
      <c r="C8" s="3" t="s">
        <v>30</v>
      </c>
      <c r="D8" s="26">
        <v>1993</v>
      </c>
      <c r="E8" s="27"/>
      <c r="F8" s="27" t="s">
        <v>28</v>
      </c>
      <c r="G8" s="28">
        <v>1</v>
      </c>
      <c r="H8" s="27">
        <v>9</v>
      </c>
      <c r="I8" s="27" t="s">
        <v>95</v>
      </c>
      <c r="J8" s="29">
        <v>29497</v>
      </c>
      <c r="K8" s="29">
        <v>1170</v>
      </c>
      <c r="L8" s="29"/>
      <c r="M8" s="29">
        <v>1181</v>
      </c>
      <c r="N8" s="29">
        <f>101-1</f>
        <v>100</v>
      </c>
      <c r="O8" s="29">
        <f>277-4</f>
        <v>273</v>
      </c>
      <c r="P8" s="29">
        <v>102</v>
      </c>
      <c r="Q8" s="7">
        <v>290</v>
      </c>
      <c r="R8" s="38">
        <f>6588.2-86.1</f>
        <v>6502.0999999999995</v>
      </c>
      <c r="S8" s="32">
        <f>4098.7-53.3</f>
        <v>4045.3999999999996</v>
      </c>
      <c r="T8" s="7">
        <f t="shared" ref="T8:T53" si="7">N8-W8-Z8</f>
        <v>98</v>
      </c>
      <c r="U8" s="29">
        <f t="shared" ref="U8:U53" si="8">R8-X8-AA8</f>
        <v>6368.9</v>
      </c>
      <c r="V8" s="29">
        <f t="shared" ref="V8:V53" si="9">S8-Y8-AB8</f>
        <v>3959.0999999999995</v>
      </c>
      <c r="W8" s="10">
        <v>2</v>
      </c>
      <c r="X8" s="80">
        <v>133.19999999999999</v>
      </c>
      <c r="Y8" s="80">
        <v>86.3</v>
      </c>
      <c r="Z8" s="31"/>
      <c r="AA8" s="31"/>
      <c r="AB8" s="31"/>
      <c r="AC8" s="80">
        <f t="shared" ref="AC8:AC53" si="10">AD8+AG8+AH8</f>
        <v>184.29999999999998</v>
      </c>
      <c r="AD8" s="38">
        <f t="shared" ref="AD8:AD53" si="11">AE8+AF8</f>
        <v>0</v>
      </c>
      <c r="AE8" s="87"/>
      <c r="AF8" s="38">
        <v>0</v>
      </c>
      <c r="AG8" s="87">
        <f>95.1+86.1+3.1</f>
        <v>184.29999999999998</v>
      </c>
      <c r="AH8" s="33"/>
      <c r="AI8" s="87">
        <f t="shared" ref="AI8:AI9" si="12">R8+AC8</f>
        <v>6686.4</v>
      </c>
      <c r="AJ8" s="29"/>
      <c r="AK8" s="29">
        <v>3</v>
      </c>
      <c r="AL8" s="29">
        <v>3</v>
      </c>
      <c r="AM8" s="29">
        <v>3</v>
      </c>
      <c r="AN8" s="29"/>
      <c r="AO8" s="29">
        <v>3</v>
      </c>
      <c r="AP8" s="29">
        <v>5400</v>
      </c>
      <c r="AQ8" s="29"/>
      <c r="AR8" s="29">
        <v>413</v>
      </c>
      <c r="AS8" s="29">
        <v>360</v>
      </c>
      <c r="AT8" s="29">
        <v>429</v>
      </c>
      <c r="AU8" s="29">
        <f t="shared" si="0"/>
        <v>10869</v>
      </c>
      <c r="AV8" s="29"/>
      <c r="AW8" s="29">
        <v>10869</v>
      </c>
      <c r="AX8" s="29">
        <v>2970</v>
      </c>
      <c r="AY8" s="29">
        <v>167</v>
      </c>
      <c r="AZ8" s="29">
        <v>1102</v>
      </c>
      <c r="BA8" s="29">
        <v>1102</v>
      </c>
      <c r="BB8" s="29">
        <v>51</v>
      </c>
      <c r="BC8" s="29">
        <v>6</v>
      </c>
      <c r="BD8" s="29">
        <v>388</v>
      </c>
      <c r="BE8" s="29">
        <v>689</v>
      </c>
      <c r="BF8" s="29">
        <v>2</v>
      </c>
      <c r="BG8" s="29">
        <v>11400</v>
      </c>
      <c r="BH8" s="29">
        <v>4905</v>
      </c>
      <c r="BI8" s="29">
        <v>135</v>
      </c>
      <c r="BJ8" s="98" t="str">
        <f t="shared" ref="BJ8:BJ53" si="13">IF((I8="кир"),G8,"0")</f>
        <v>0</v>
      </c>
      <c r="BK8" s="98" t="str">
        <f t="shared" ref="BK8:BK53" si="14">IF((I8="кир"),R8,"0")</f>
        <v>0</v>
      </c>
      <c r="BL8" s="98" t="str">
        <f t="shared" ref="BL8:BL53" si="15">IF((I8="кир"),S8,"0")</f>
        <v>0</v>
      </c>
      <c r="BM8" s="98">
        <f t="shared" ref="BM8:BM53" si="16">IF((I8="пан"),G8,"0")</f>
        <v>1</v>
      </c>
      <c r="BN8" s="98">
        <f t="shared" ref="BN8:BN53" si="17">IF((I8="пан"),R8,"0")</f>
        <v>6502.0999999999995</v>
      </c>
      <c r="BO8" s="98">
        <f t="shared" ref="BO8:BO53" si="18">IF((I8="пан"),S8,"0")</f>
        <v>4045.3999999999996</v>
      </c>
      <c r="BP8" s="98" t="str">
        <f t="shared" ref="BP8:BP53" si="19">IF((I8="смеш"),G8,"0")</f>
        <v>0</v>
      </c>
      <c r="BQ8" s="98" t="str">
        <f t="shared" ref="BQ8:BQ53" si="20">IF((I8="смеш"),R8,"0")</f>
        <v>0</v>
      </c>
      <c r="BR8" s="98" t="str">
        <f t="shared" ref="BR8:BR53" si="21">IF((I8="смеш"),S8,"0")</f>
        <v>0</v>
      </c>
      <c r="BS8" s="29"/>
      <c r="BT8" s="29">
        <v>3</v>
      </c>
      <c r="BU8" s="29"/>
      <c r="BV8" s="29"/>
      <c r="BW8" s="29"/>
      <c r="BX8" s="29"/>
      <c r="BY8" s="82">
        <v>2292.4999999999995</v>
      </c>
      <c r="BZ8" s="82">
        <v>1045.0999999999999</v>
      </c>
      <c r="CA8" s="4">
        <v>3914</v>
      </c>
      <c r="CB8" s="4">
        <f t="shared" si="1"/>
        <v>2744</v>
      </c>
      <c r="CC8" s="34" t="str">
        <f t="shared" si="2"/>
        <v>0</v>
      </c>
      <c r="CD8" s="35">
        <f t="shared" si="3"/>
        <v>0</v>
      </c>
      <c r="CE8" s="34">
        <f t="shared" si="4"/>
        <v>1</v>
      </c>
      <c r="CF8" s="35">
        <f t="shared" si="5"/>
        <v>10869</v>
      </c>
      <c r="CG8" s="35">
        <f t="shared" ref="CG8:CG45" si="22">CC8+CE8</f>
        <v>1</v>
      </c>
      <c r="CH8" s="35">
        <f t="shared" ref="CH8:CH45" si="23">CD8+CF8</f>
        <v>10869</v>
      </c>
      <c r="CI8" s="36">
        <v>32</v>
      </c>
      <c r="CJ8" s="217" t="str">
        <f t="shared" ref="CJ8:CJ53" si="24">IF((X8/R8*100&gt;=50), G8, "0")</f>
        <v>0</v>
      </c>
      <c r="CK8" s="217" t="str">
        <f t="shared" ref="CK8:CK53" si="25">IF((X8/R8*100&gt;=50), R8, "0")</f>
        <v>0</v>
      </c>
      <c r="CL8" s="218">
        <f t="shared" ref="CL8:CL53" si="26">X8/R8*100</f>
        <v>2.0485689238861289</v>
      </c>
      <c r="CM8" s="219" t="str">
        <f t="shared" ref="CM8:CM53" si="27">IF(((X8+AD8)/AI8*100&gt;=50), G8, "0")</f>
        <v>0</v>
      </c>
      <c r="CN8" s="219" t="str">
        <f t="shared" ref="CN8:CN53" si="28">IF(((X8+AD8)/AI8*100&gt;=50), AI8, "0")</f>
        <v>0</v>
      </c>
      <c r="CO8" s="218">
        <f t="shared" ref="CO8:CO53" si="29">(X8+AD8)/AI8*100</f>
        <v>1.9921033740129217</v>
      </c>
      <c r="CP8" s="97">
        <v>1</v>
      </c>
      <c r="CQ8" s="97">
        <v>0</v>
      </c>
      <c r="CR8" s="97">
        <v>0</v>
      </c>
      <c r="CS8" s="97">
        <v>0</v>
      </c>
      <c r="CT8" s="97">
        <v>2</v>
      </c>
      <c r="CU8" s="97">
        <v>0</v>
      </c>
      <c r="CV8" s="97">
        <v>0</v>
      </c>
      <c r="CW8" s="97">
        <v>0</v>
      </c>
      <c r="CX8" s="97">
        <v>0</v>
      </c>
      <c r="CY8" s="94">
        <v>101</v>
      </c>
      <c r="CZ8" s="95">
        <v>100</v>
      </c>
      <c r="DA8" s="94">
        <v>1</v>
      </c>
      <c r="DB8" s="97">
        <v>97</v>
      </c>
      <c r="DC8" s="97">
        <v>68</v>
      </c>
      <c r="DD8" s="221">
        <v>169</v>
      </c>
      <c r="DE8" s="97">
        <v>76</v>
      </c>
      <c r="DF8" s="97">
        <v>68</v>
      </c>
      <c r="DG8" s="221">
        <v>169</v>
      </c>
      <c r="DH8" s="97">
        <v>76</v>
      </c>
      <c r="DI8" s="97">
        <v>1</v>
      </c>
      <c r="DJ8" s="97">
        <v>1</v>
      </c>
      <c r="DK8" s="94">
        <v>1</v>
      </c>
      <c r="DL8" s="97">
        <v>1</v>
      </c>
      <c r="DM8" s="97">
        <v>1</v>
      </c>
      <c r="DN8" s="94">
        <v>1</v>
      </c>
      <c r="DO8" s="97">
        <v>1</v>
      </c>
      <c r="DP8" s="92">
        <f t="shared" si="6"/>
        <v>101</v>
      </c>
      <c r="DQ8" s="97">
        <v>101</v>
      </c>
      <c r="DX8" s="104"/>
      <c r="DY8" s="104"/>
    </row>
    <row r="9" spans="1:129">
      <c r="A9" s="24" t="s">
        <v>91</v>
      </c>
      <c r="B9" s="25">
        <v>3</v>
      </c>
      <c r="C9" s="3" t="s">
        <v>164</v>
      </c>
      <c r="D9" s="26">
        <v>1992</v>
      </c>
      <c r="E9" s="27"/>
      <c r="F9" s="27" t="s">
        <v>27</v>
      </c>
      <c r="G9" s="28">
        <v>1</v>
      </c>
      <c r="H9" s="27">
        <v>9</v>
      </c>
      <c r="I9" s="27" t="s">
        <v>95</v>
      </c>
      <c r="J9" s="29">
        <v>17018</v>
      </c>
      <c r="K9" s="29">
        <v>706</v>
      </c>
      <c r="L9" s="29"/>
      <c r="M9" s="29">
        <v>695</v>
      </c>
      <c r="N9" s="29">
        <v>62</v>
      </c>
      <c r="O9" s="29">
        <v>169</v>
      </c>
      <c r="P9" s="29">
        <v>62</v>
      </c>
      <c r="Q9" s="7">
        <v>128</v>
      </c>
      <c r="R9" s="38">
        <v>4417.7</v>
      </c>
      <c r="S9" s="32">
        <v>2632.7</v>
      </c>
      <c r="T9" s="7">
        <f t="shared" si="7"/>
        <v>60</v>
      </c>
      <c r="U9" s="30">
        <f t="shared" si="8"/>
        <v>4302.3</v>
      </c>
      <c r="V9" s="30">
        <f t="shared" si="9"/>
        <v>2569.3999999999996</v>
      </c>
      <c r="W9" s="10">
        <v>2</v>
      </c>
      <c r="X9" s="80">
        <v>115.4</v>
      </c>
      <c r="Y9" s="80">
        <v>63.3</v>
      </c>
      <c r="Z9" s="31"/>
      <c r="AA9" s="31"/>
      <c r="AB9" s="31"/>
      <c r="AC9" s="80">
        <f t="shared" si="10"/>
        <v>0</v>
      </c>
      <c r="AD9" s="38">
        <f t="shared" si="11"/>
        <v>0</v>
      </c>
      <c r="AE9" s="87"/>
      <c r="AF9" s="38">
        <v>0</v>
      </c>
      <c r="AG9" s="87"/>
      <c r="AH9" s="33"/>
      <c r="AI9" s="87">
        <f t="shared" si="12"/>
        <v>4417.7</v>
      </c>
      <c r="AJ9" s="29"/>
      <c r="AK9" s="29">
        <v>2</v>
      </c>
      <c r="AL9" s="29">
        <v>2</v>
      </c>
      <c r="AM9" s="29">
        <v>2</v>
      </c>
      <c r="AN9" s="29"/>
      <c r="AO9" s="29">
        <v>2</v>
      </c>
      <c r="AP9" s="29">
        <v>3930</v>
      </c>
      <c r="AQ9" s="29"/>
      <c r="AR9" s="29">
        <v>262</v>
      </c>
      <c r="AS9" s="29">
        <v>157</v>
      </c>
      <c r="AT9" s="29">
        <v>140</v>
      </c>
      <c r="AU9" s="29">
        <f t="shared" si="0"/>
        <v>7246</v>
      </c>
      <c r="AV9" s="29">
        <v>7246</v>
      </c>
      <c r="AW9" s="29"/>
      <c r="AX9" s="29">
        <v>2140</v>
      </c>
      <c r="AY9" s="29">
        <v>136</v>
      </c>
      <c r="AZ9" s="29">
        <v>663</v>
      </c>
      <c r="BA9" s="29">
        <v>663</v>
      </c>
      <c r="BB9" s="29">
        <v>34</v>
      </c>
      <c r="BC9" s="29">
        <v>4</v>
      </c>
      <c r="BD9" s="29">
        <v>231</v>
      </c>
      <c r="BE9" s="29">
        <v>603</v>
      </c>
      <c r="BF9" s="29">
        <v>2</v>
      </c>
      <c r="BG9" s="29">
        <v>3570</v>
      </c>
      <c r="BH9" s="29">
        <v>1400</v>
      </c>
      <c r="BI9" s="29">
        <v>90</v>
      </c>
      <c r="BJ9" s="98" t="str">
        <f t="shared" si="13"/>
        <v>0</v>
      </c>
      <c r="BK9" s="98" t="str">
        <f t="shared" si="14"/>
        <v>0</v>
      </c>
      <c r="BL9" s="98" t="str">
        <f t="shared" si="15"/>
        <v>0</v>
      </c>
      <c r="BM9" s="98">
        <f t="shared" si="16"/>
        <v>1</v>
      </c>
      <c r="BN9" s="98">
        <f t="shared" si="17"/>
        <v>4417.7</v>
      </c>
      <c r="BO9" s="98">
        <f t="shared" si="18"/>
        <v>2632.7</v>
      </c>
      <c r="BP9" s="98" t="str">
        <f t="shared" si="19"/>
        <v>0</v>
      </c>
      <c r="BQ9" s="98" t="str">
        <f t="shared" si="20"/>
        <v>0</v>
      </c>
      <c r="BR9" s="98" t="str">
        <f t="shared" si="21"/>
        <v>0</v>
      </c>
      <c r="BS9" s="29"/>
      <c r="BT9" s="29">
        <v>2</v>
      </c>
      <c r="BU9" s="29">
        <f>BA9</f>
        <v>663</v>
      </c>
      <c r="BV9" s="29">
        <v>6863</v>
      </c>
      <c r="BW9" s="29"/>
      <c r="BX9" s="29"/>
      <c r="BY9" s="82">
        <v>1183.4000000000001</v>
      </c>
      <c r="BZ9" s="82">
        <v>517.70000000000005</v>
      </c>
      <c r="CA9" s="4">
        <v>1646</v>
      </c>
      <c r="CB9" s="4">
        <f t="shared" si="1"/>
        <v>940</v>
      </c>
      <c r="CC9" s="34">
        <f t="shared" si="2"/>
        <v>1</v>
      </c>
      <c r="CD9" s="35">
        <f t="shared" si="3"/>
        <v>7246</v>
      </c>
      <c r="CE9" s="34" t="str">
        <f t="shared" si="4"/>
        <v>0</v>
      </c>
      <c r="CF9" s="35">
        <f t="shared" si="5"/>
        <v>0</v>
      </c>
      <c r="CG9" s="35">
        <f t="shared" si="22"/>
        <v>1</v>
      </c>
      <c r="CH9" s="35">
        <f t="shared" si="23"/>
        <v>7246</v>
      </c>
      <c r="CI9" s="22">
        <v>29</v>
      </c>
      <c r="CJ9" s="217" t="str">
        <f t="shared" si="24"/>
        <v>0</v>
      </c>
      <c r="CK9" s="217" t="str">
        <f t="shared" si="25"/>
        <v>0</v>
      </c>
      <c r="CL9" s="218">
        <f t="shared" si="26"/>
        <v>2.6122190280009963</v>
      </c>
      <c r="CM9" s="219" t="str">
        <f t="shared" si="27"/>
        <v>0</v>
      </c>
      <c r="CN9" s="219" t="str">
        <f t="shared" si="28"/>
        <v>0</v>
      </c>
      <c r="CO9" s="218">
        <f t="shared" si="29"/>
        <v>2.6122190280009963</v>
      </c>
      <c r="CP9" s="97">
        <v>1</v>
      </c>
      <c r="CQ9" s="97">
        <v>0</v>
      </c>
      <c r="CR9" s="97">
        <v>0</v>
      </c>
      <c r="CS9" s="97">
        <v>0</v>
      </c>
      <c r="CT9" s="97">
        <v>2</v>
      </c>
      <c r="CU9" s="97">
        <v>0</v>
      </c>
      <c r="CV9" s="97">
        <v>0</v>
      </c>
      <c r="CW9" s="97">
        <v>0</v>
      </c>
      <c r="CX9" s="97">
        <v>0</v>
      </c>
      <c r="CY9" s="94">
        <v>62</v>
      </c>
      <c r="CZ9" s="95">
        <v>60</v>
      </c>
      <c r="DA9" s="94">
        <v>2</v>
      </c>
      <c r="DB9" s="97">
        <v>57</v>
      </c>
      <c r="DC9" s="97">
        <v>45</v>
      </c>
      <c r="DD9" s="221">
        <v>93</v>
      </c>
      <c r="DE9" s="97">
        <v>57</v>
      </c>
      <c r="DF9" s="97">
        <v>45</v>
      </c>
      <c r="DG9" s="221">
        <v>93</v>
      </c>
      <c r="DH9" s="97">
        <v>57</v>
      </c>
      <c r="DI9" s="97">
        <v>2</v>
      </c>
      <c r="DJ9" s="97">
        <v>1</v>
      </c>
      <c r="DK9" s="94">
        <v>4</v>
      </c>
      <c r="DL9" s="97">
        <v>2</v>
      </c>
      <c r="DM9" s="97">
        <v>1</v>
      </c>
      <c r="DN9" s="94">
        <v>4</v>
      </c>
      <c r="DO9" s="97">
        <v>2</v>
      </c>
      <c r="DP9" s="92">
        <f t="shared" si="6"/>
        <v>62</v>
      </c>
      <c r="DQ9" s="97">
        <v>62</v>
      </c>
      <c r="DX9" s="105"/>
      <c r="DY9" s="104"/>
    </row>
    <row r="10" spans="1:129">
      <c r="A10" s="24" t="s">
        <v>91</v>
      </c>
      <c r="B10" s="25">
        <v>4</v>
      </c>
      <c r="C10" s="3" t="s">
        <v>109</v>
      </c>
      <c r="D10" s="26">
        <v>1983</v>
      </c>
      <c r="E10" s="27"/>
      <c r="F10" s="27" t="s">
        <v>28</v>
      </c>
      <c r="G10" s="28">
        <v>1</v>
      </c>
      <c r="H10" s="27">
        <v>9</v>
      </c>
      <c r="I10" s="27" t="s">
        <v>107</v>
      </c>
      <c r="J10" s="29">
        <f>39273+19324+39325+18950</f>
        <v>116872</v>
      </c>
      <c r="K10" s="29">
        <f>1509+760+1540+542</f>
        <v>4351</v>
      </c>
      <c r="L10" s="29"/>
      <c r="M10" s="29">
        <f>1452+721+528+1462</f>
        <v>4163</v>
      </c>
      <c r="N10" s="29">
        <f>402+1</f>
        <v>403</v>
      </c>
      <c r="O10" s="29">
        <f>1011+3</f>
        <v>1014</v>
      </c>
      <c r="P10" s="29">
        <v>406</v>
      </c>
      <c r="Q10" s="8">
        <v>914</v>
      </c>
      <c r="R10" s="38">
        <f>25019+70.5</f>
        <v>25089.5</v>
      </c>
      <c r="S10" s="32">
        <f>15375.3+43.2</f>
        <v>15418.5</v>
      </c>
      <c r="T10" s="8">
        <f t="shared" si="7"/>
        <v>365</v>
      </c>
      <c r="U10" s="39">
        <f t="shared" si="8"/>
        <v>22581.7</v>
      </c>
      <c r="V10" s="39">
        <f t="shared" si="9"/>
        <v>13847.7</v>
      </c>
      <c r="W10" s="10">
        <v>38</v>
      </c>
      <c r="X10" s="80">
        <v>2507.8000000000002</v>
      </c>
      <c r="Y10" s="80">
        <v>1570.8</v>
      </c>
      <c r="Z10" s="31"/>
      <c r="AA10" s="31"/>
      <c r="AB10" s="31"/>
      <c r="AC10" s="80">
        <f t="shared" si="10"/>
        <v>32.6</v>
      </c>
      <c r="AD10" s="38">
        <f t="shared" si="11"/>
        <v>32.6</v>
      </c>
      <c r="AE10" s="87"/>
      <c r="AF10" s="38">
        <f>103.7-70.5-0.6</f>
        <v>32.6</v>
      </c>
      <c r="AG10" s="87"/>
      <c r="AH10" s="33"/>
      <c r="AI10" s="87">
        <f t="shared" ref="AI10:AI45" si="30">R10+AC10</f>
        <v>25122.1</v>
      </c>
      <c r="AJ10" s="29"/>
      <c r="AK10" s="29">
        <f>4+2+1+4</f>
        <v>11</v>
      </c>
      <c r="AL10" s="29">
        <f>4+2+1+4</f>
        <v>11</v>
      </c>
      <c r="AM10" s="29">
        <f>4+2+1+4</f>
        <v>11</v>
      </c>
      <c r="AN10" s="29"/>
      <c r="AO10" s="29">
        <f>4+2+1+4</f>
        <v>11</v>
      </c>
      <c r="AP10" s="29">
        <f>7020+3480+2130+6570</f>
        <v>19200</v>
      </c>
      <c r="AQ10" s="29"/>
      <c r="AR10" s="29">
        <f>1535</f>
        <v>1535</v>
      </c>
      <c r="AS10" s="29">
        <f>549+320+102+550</f>
        <v>1521</v>
      </c>
      <c r="AT10" s="29">
        <f>572+286+143+572</f>
        <v>1573</v>
      </c>
      <c r="AU10" s="29">
        <f t="shared" ref="AU10:AU40" si="31">SUM(AV10+AW10)</f>
        <v>41666</v>
      </c>
      <c r="AV10" s="29">
        <f>14492+7246+5436+14492</f>
        <v>41666</v>
      </c>
      <c r="AW10" s="29"/>
      <c r="AX10" s="29">
        <f>3800+1900+0+3800</f>
        <v>9500</v>
      </c>
      <c r="AY10" s="29">
        <f>337+164+164+130</f>
        <v>795</v>
      </c>
      <c r="AZ10" s="29">
        <f>1428+702+521+1430</f>
        <v>4081</v>
      </c>
      <c r="BA10" s="29">
        <f>1428+702+521+1430</f>
        <v>4081</v>
      </c>
      <c r="BB10" s="29">
        <f>68+34+17+68</f>
        <v>187</v>
      </c>
      <c r="BC10" s="29">
        <f>8+4+8+2</f>
        <v>22</v>
      </c>
      <c r="BD10" s="29">
        <f>514+253+505+141</f>
        <v>1413</v>
      </c>
      <c r="BE10" s="29">
        <f>1354+673+1345+459</f>
        <v>3831</v>
      </c>
      <c r="BF10" s="29"/>
      <c r="BG10" s="29">
        <f>15200+7600+3800+15200</f>
        <v>41800</v>
      </c>
      <c r="BH10" s="29">
        <f>6540+3270+1635+6540</f>
        <v>17985</v>
      </c>
      <c r="BI10" s="29">
        <f>380+90+45+380</f>
        <v>895</v>
      </c>
      <c r="BJ10" s="98" t="str">
        <f t="shared" si="13"/>
        <v>0</v>
      </c>
      <c r="BK10" s="98" t="str">
        <f t="shared" si="14"/>
        <v>0</v>
      </c>
      <c r="BL10" s="98" t="str">
        <f t="shared" si="15"/>
        <v>0</v>
      </c>
      <c r="BM10" s="98" t="str">
        <f t="shared" si="16"/>
        <v>0</v>
      </c>
      <c r="BN10" s="98" t="str">
        <f t="shared" si="17"/>
        <v>0</v>
      </c>
      <c r="BO10" s="98" t="str">
        <f t="shared" si="18"/>
        <v>0</v>
      </c>
      <c r="BP10" s="98">
        <f t="shared" si="19"/>
        <v>1</v>
      </c>
      <c r="BQ10" s="98">
        <f t="shared" si="20"/>
        <v>25089.5</v>
      </c>
      <c r="BR10" s="98">
        <f t="shared" si="21"/>
        <v>15418.5</v>
      </c>
      <c r="BS10" s="29"/>
      <c r="BT10" s="29">
        <v>6</v>
      </c>
      <c r="BU10" s="29"/>
      <c r="BV10" s="29"/>
      <c r="BW10" s="29"/>
      <c r="BX10" s="29">
        <v>6570</v>
      </c>
      <c r="BY10" s="82">
        <v>5281.2000000000007</v>
      </c>
      <c r="BZ10" s="82">
        <v>4403.6000000000004</v>
      </c>
      <c r="CA10" s="4">
        <f>3030+6440</f>
        <v>9470</v>
      </c>
      <c r="CB10" s="4">
        <f t="shared" si="1"/>
        <v>5119</v>
      </c>
      <c r="CC10" s="34">
        <f t="shared" si="2"/>
        <v>1</v>
      </c>
      <c r="CD10" s="35">
        <f t="shared" si="3"/>
        <v>41666</v>
      </c>
      <c r="CE10" s="34" t="str">
        <f t="shared" si="4"/>
        <v>0</v>
      </c>
      <c r="CF10" s="35">
        <f t="shared" si="5"/>
        <v>0</v>
      </c>
      <c r="CG10" s="35">
        <f t="shared" si="22"/>
        <v>1</v>
      </c>
      <c r="CH10" s="35">
        <f t="shared" si="23"/>
        <v>41666</v>
      </c>
      <c r="CI10" s="22">
        <v>30</v>
      </c>
      <c r="CJ10" s="217" t="str">
        <f t="shared" si="24"/>
        <v>0</v>
      </c>
      <c r="CK10" s="217" t="str">
        <f t="shared" si="25"/>
        <v>0</v>
      </c>
      <c r="CL10" s="218">
        <f t="shared" si="26"/>
        <v>9.9954164092548687</v>
      </c>
      <c r="CM10" s="219" t="str">
        <f t="shared" si="27"/>
        <v>0</v>
      </c>
      <c r="CN10" s="219" t="str">
        <f t="shared" si="28"/>
        <v>0</v>
      </c>
      <c r="CO10" s="218">
        <f t="shared" si="29"/>
        <v>10.112211956802977</v>
      </c>
      <c r="CP10" s="97">
        <v>1</v>
      </c>
      <c r="CQ10" s="97">
        <v>0</v>
      </c>
      <c r="CR10" s="97">
        <v>0</v>
      </c>
      <c r="CS10" s="97">
        <v>0</v>
      </c>
      <c r="CT10" s="97">
        <v>6</v>
      </c>
      <c r="CU10" s="97">
        <v>0</v>
      </c>
      <c r="CV10" s="97">
        <v>0</v>
      </c>
      <c r="CW10" s="97">
        <v>0</v>
      </c>
      <c r="CX10" s="97">
        <v>0</v>
      </c>
      <c r="CY10" s="94">
        <v>402</v>
      </c>
      <c r="CZ10" s="95">
        <v>368</v>
      </c>
      <c r="DA10" s="94">
        <v>34</v>
      </c>
      <c r="DB10" s="97">
        <v>356</v>
      </c>
      <c r="DC10" s="97">
        <v>308</v>
      </c>
      <c r="DD10" s="221">
        <v>602</v>
      </c>
      <c r="DE10" s="97">
        <v>459</v>
      </c>
      <c r="DF10" s="97">
        <v>308</v>
      </c>
      <c r="DG10" s="221">
        <v>602</v>
      </c>
      <c r="DH10" s="97">
        <v>469</v>
      </c>
      <c r="DI10" s="97">
        <v>32</v>
      </c>
      <c r="DJ10" s="97">
        <v>10</v>
      </c>
      <c r="DK10" s="94">
        <v>37</v>
      </c>
      <c r="DL10" s="97">
        <v>12</v>
      </c>
      <c r="DM10" s="97">
        <v>10</v>
      </c>
      <c r="DN10" s="94">
        <v>37</v>
      </c>
      <c r="DO10" s="97">
        <v>12</v>
      </c>
      <c r="DP10" s="92">
        <f t="shared" si="6"/>
        <v>402</v>
      </c>
      <c r="DQ10" s="97">
        <v>402</v>
      </c>
      <c r="DX10" s="105"/>
      <c r="DY10" s="104"/>
    </row>
    <row r="11" spans="1:129">
      <c r="A11" s="24" t="s">
        <v>91</v>
      </c>
      <c r="B11" s="25">
        <v>5</v>
      </c>
      <c r="C11" s="3" t="s">
        <v>68</v>
      </c>
      <c r="D11" s="26">
        <v>1950</v>
      </c>
      <c r="E11" s="27"/>
      <c r="F11" s="27" t="s">
        <v>29</v>
      </c>
      <c r="G11" s="28">
        <v>1</v>
      </c>
      <c r="H11" s="27">
        <v>5</v>
      </c>
      <c r="I11" s="27" t="s">
        <v>96</v>
      </c>
      <c r="J11" s="29">
        <v>51096</v>
      </c>
      <c r="K11" s="29">
        <v>1976</v>
      </c>
      <c r="L11" s="29">
        <v>2406</v>
      </c>
      <c r="M11" s="29">
        <v>0</v>
      </c>
      <c r="N11" s="29">
        <v>64</v>
      </c>
      <c r="O11" s="29">
        <v>166</v>
      </c>
      <c r="P11" s="29">
        <v>68</v>
      </c>
      <c r="Q11" s="8">
        <v>135</v>
      </c>
      <c r="R11" s="38">
        <v>4780.04</v>
      </c>
      <c r="S11" s="32">
        <v>2973.55</v>
      </c>
      <c r="T11" s="8">
        <f t="shared" si="7"/>
        <v>61</v>
      </c>
      <c r="U11" s="30">
        <f t="shared" si="8"/>
        <v>4570.74</v>
      </c>
      <c r="V11" s="30">
        <f t="shared" si="9"/>
        <v>2835.55</v>
      </c>
      <c r="W11" s="10">
        <v>3</v>
      </c>
      <c r="X11" s="80">
        <v>209.3</v>
      </c>
      <c r="Y11" s="80">
        <v>138</v>
      </c>
      <c r="Z11" s="31"/>
      <c r="AA11" s="31"/>
      <c r="AB11" s="31"/>
      <c r="AC11" s="80">
        <f t="shared" si="10"/>
        <v>2838</v>
      </c>
      <c r="AD11" s="38">
        <f t="shared" si="11"/>
        <v>958.8</v>
      </c>
      <c r="AE11" s="87"/>
      <c r="AF11" s="38">
        <v>958.8</v>
      </c>
      <c r="AG11" s="87">
        <v>1879.2</v>
      </c>
      <c r="AH11" s="33"/>
      <c r="AI11" s="87">
        <f t="shared" si="30"/>
        <v>7618.04</v>
      </c>
      <c r="AJ11" s="29"/>
      <c r="AK11" s="29"/>
      <c r="AL11" s="29">
        <v>5</v>
      </c>
      <c r="AM11" s="29"/>
      <c r="AN11" s="29"/>
      <c r="AO11" s="29">
        <v>1</v>
      </c>
      <c r="AP11" s="29">
        <v>4382</v>
      </c>
      <c r="AQ11" s="29">
        <v>1376</v>
      </c>
      <c r="AR11" s="29">
        <v>435</v>
      </c>
      <c r="AS11" s="29">
        <v>254</v>
      </c>
      <c r="AT11" s="29">
        <v>150</v>
      </c>
      <c r="AU11" s="29">
        <f t="shared" si="31"/>
        <v>4965</v>
      </c>
      <c r="AV11" s="29"/>
      <c r="AW11" s="29">
        <v>4965</v>
      </c>
      <c r="AX11" s="29"/>
      <c r="AY11" s="29">
        <v>157</v>
      </c>
      <c r="AZ11" s="29">
        <v>1968</v>
      </c>
      <c r="BA11" s="29">
        <v>1968</v>
      </c>
      <c r="BB11" s="29">
        <v>25</v>
      </c>
      <c r="BC11" s="29">
        <v>10</v>
      </c>
      <c r="BD11" s="29">
        <v>238</v>
      </c>
      <c r="BE11" s="29">
        <v>628</v>
      </c>
      <c r="BF11" s="29"/>
      <c r="BG11" s="29">
        <v>4868</v>
      </c>
      <c r="BH11" s="29">
        <v>190</v>
      </c>
      <c r="BI11" s="29"/>
      <c r="BJ11" s="98">
        <f t="shared" si="13"/>
        <v>1</v>
      </c>
      <c r="BK11" s="98">
        <f t="shared" si="14"/>
        <v>4780.04</v>
      </c>
      <c r="BL11" s="98">
        <f t="shared" si="15"/>
        <v>2973.55</v>
      </c>
      <c r="BM11" s="98" t="str">
        <f t="shared" si="16"/>
        <v>0</v>
      </c>
      <c r="BN11" s="98" t="str">
        <f t="shared" si="17"/>
        <v>0</v>
      </c>
      <c r="BO11" s="98" t="str">
        <f t="shared" si="18"/>
        <v>0</v>
      </c>
      <c r="BP11" s="98" t="str">
        <f t="shared" si="19"/>
        <v>0</v>
      </c>
      <c r="BQ11" s="98" t="str">
        <f t="shared" si="20"/>
        <v>0</v>
      </c>
      <c r="BR11" s="98" t="str">
        <f t="shared" si="21"/>
        <v>0</v>
      </c>
      <c r="BS11" s="29"/>
      <c r="BT11" s="29">
        <v>2</v>
      </c>
      <c r="BU11" s="29">
        <f>BA11</f>
        <v>1968</v>
      </c>
      <c r="BV11" s="29">
        <v>5180</v>
      </c>
      <c r="BW11" s="29"/>
      <c r="BX11" s="29">
        <f>AP11</f>
        <v>4382</v>
      </c>
      <c r="BY11" s="82">
        <v>529.9</v>
      </c>
      <c r="BZ11" s="82">
        <v>514.97</v>
      </c>
      <c r="CA11" s="4">
        <v>4174</v>
      </c>
      <c r="CB11" s="4">
        <f t="shared" si="1"/>
        <v>2198</v>
      </c>
      <c r="CC11" s="34" t="str">
        <f t="shared" si="2"/>
        <v>0</v>
      </c>
      <c r="CD11" s="35">
        <f t="shared" si="3"/>
        <v>0</v>
      </c>
      <c r="CE11" s="34">
        <f t="shared" si="4"/>
        <v>1</v>
      </c>
      <c r="CF11" s="35">
        <f t="shared" si="5"/>
        <v>4965</v>
      </c>
      <c r="CG11" s="35">
        <f t="shared" si="22"/>
        <v>1</v>
      </c>
      <c r="CH11" s="35">
        <f t="shared" si="23"/>
        <v>4965</v>
      </c>
      <c r="CI11" s="22">
        <v>40</v>
      </c>
      <c r="CJ11" s="217" t="str">
        <f t="shared" si="24"/>
        <v>0</v>
      </c>
      <c r="CK11" s="217" t="str">
        <f t="shared" si="25"/>
        <v>0</v>
      </c>
      <c r="CL11" s="218">
        <f t="shared" si="26"/>
        <v>4.3786244466573505</v>
      </c>
      <c r="CM11" s="219" t="str">
        <f t="shared" si="27"/>
        <v>0</v>
      </c>
      <c r="CN11" s="219" t="str">
        <f t="shared" si="28"/>
        <v>0</v>
      </c>
      <c r="CO11" s="218">
        <f t="shared" si="29"/>
        <v>15.333340334259205</v>
      </c>
      <c r="CP11" s="97">
        <v>1</v>
      </c>
      <c r="CQ11" s="97">
        <v>0</v>
      </c>
      <c r="CR11" s="97">
        <v>0</v>
      </c>
      <c r="CS11" s="97">
        <v>0</v>
      </c>
      <c r="CT11" s="97">
        <v>1</v>
      </c>
      <c r="CU11" s="97">
        <v>0</v>
      </c>
      <c r="CV11" s="97">
        <v>0</v>
      </c>
      <c r="CW11" s="97">
        <v>0</v>
      </c>
      <c r="CX11" s="97">
        <v>0</v>
      </c>
      <c r="CY11" s="94">
        <v>64</v>
      </c>
      <c r="CZ11" s="95">
        <v>61</v>
      </c>
      <c r="DA11" s="94">
        <v>3</v>
      </c>
      <c r="DB11" s="97">
        <v>59</v>
      </c>
      <c r="DC11" s="97">
        <v>18</v>
      </c>
      <c r="DD11" s="221">
        <v>89</v>
      </c>
      <c r="DE11" s="97">
        <v>29</v>
      </c>
      <c r="DF11" s="97">
        <v>18</v>
      </c>
      <c r="DG11" s="221">
        <v>89</v>
      </c>
      <c r="DH11" s="97">
        <v>38</v>
      </c>
      <c r="DI11" s="97">
        <v>3</v>
      </c>
      <c r="DJ11" s="97">
        <v>0</v>
      </c>
      <c r="DK11" s="94">
        <v>12</v>
      </c>
      <c r="DL11" s="97">
        <v>0</v>
      </c>
      <c r="DM11" s="97">
        <v>0</v>
      </c>
      <c r="DN11" s="94">
        <v>12</v>
      </c>
      <c r="DO11" s="97">
        <v>0</v>
      </c>
      <c r="DP11" s="92">
        <f t="shared" si="6"/>
        <v>64</v>
      </c>
      <c r="DQ11" s="97">
        <v>26</v>
      </c>
      <c r="DX11" s="105"/>
      <c r="DY11" s="104"/>
    </row>
    <row r="12" spans="1:129">
      <c r="A12" s="24" t="s">
        <v>91</v>
      </c>
      <c r="B12" s="25">
        <v>6</v>
      </c>
      <c r="C12" s="3" t="s">
        <v>69</v>
      </c>
      <c r="D12" s="26">
        <v>1983</v>
      </c>
      <c r="E12" s="27"/>
      <c r="F12" s="27" t="s">
        <v>28</v>
      </c>
      <c r="G12" s="28">
        <v>1</v>
      </c>
      <c r="H12" s="27">
        <v>9</v>
      </c>
      <c r="I12" s="27" t="s">
        <v>95</v>
      </c>
      <c r="J12" s="29">
        <v>19852</v>
      </c>
      <c r="K12" s="29">
        <v>718</v>
      </c>
      <c r="L12" s="29"/>
      <c r="M12" s="29">
        <v>722</v>
      </c>
      <c r="N12" s="29">
        <v>70</v>
      </c>
      <c r="O12" s="29">
        <v>196</v>
      </c>
      <c r="P12" s="29">
        <v>70</v>
      </c>
      <c r="Q12" s="8">
        <v>189</v>
      </c>
      <c r="R12" s="38">
        <v>4532.3999999999996</v>
      </c>
      <c r="S12" s="32">
        <v>2887.5</v>
      </c>
      <c r="T12" s="8">
        <f t="shared" si="7"/>
        <v>66</v>
      </c>
      <c r="U12" s="30">
        <f t="shared" si="8"/>
        <v>4277.5999999999995</v>
      </c>
      <c r="V12" s="30">
        <f t="shared" si="9"/>
        <v>2723.5</v>
      </c>
      <c r="W12" s="10">
        <v>4</v>
      </c>
      <c r="X12" s="80">
        <v>254.8</v>
      </c>
      <c r="Y12" s="80">
        <v>164</v>
      </c>
      <c r="Z12" s="31"/>
      <c r="AA12" s="31"/>
      <c r="AB12" s="31"/>
      <c r="AC12" s="80">
        <f t="shared" si="10"/>
        <v>0</v>
      </c>
      <c r="AD12" s="38">
        <f t="shared" si="11"/>
        <v>0</v>
      </c>
      <c r="AE12" s="87"/>
      <c r="AF12" s="38">
        <v>0</v>
      </c>
      <c r="AG12" s="87"/>
      <c r="AH12" s="33"/>
      <c r="AI12" s="87">
        <f t="shared" si="30"/>
        <v>4532.3999999999996</v>
      </c>
      <c r="AJ12" s="29"/>
      <c r="AK12" s="29">
        <v>2</v>
      </c>
      <c r="AL12" s="29">
        <v>2</v>
      </c>
      <c r="AM12" s="29">
        <v>2</v>
      </c>
      <c r="AN12" s="29"/>
      <c r="AO12" s="29">
        <v>2</v>
      </c>
      <c r="AP12" s="29">
        <v>3930</v>
      </c>
      <c r="AQ12" s="29"/>
      <c r="AR12" s="29"/>
      <c r="AS12" s="29">
        <v>197</v>
      </c>
      <c r="AT12" s="29">
        <v>286</v>
      </c>
      <c r="AU12" s="29">
        <f t="shared" si="31"/>
        <v>7246</v>
      </c>
      <c r="AV12" s="29">
        <v>7246</v>
      </c>
      <c r="AW12" s="29"/>
      <c r="AX12" s="29">
        <v>2140</v>
      </c>
      <c r="AY12" s="29">
        <v>170</v>
      </c>
      <c r="AZ12" s="29">
        <v>722</v>
      </c>
      <c r="BA12" s="29">
        <v>722</v>
      </c>
      <c r="BB12" s="29">
        <v>34</v>
      </c>
      <c r="BC12" s="29">
        <v>4</v>
      </c>
      <c r="BD12" s="29">
        <v>266</v>
      </c>
      <c r="BE12" s="29">
        <v>686</v>
      </c>
      <c r="BF12" s="29"/>
      <c r="BG12" s="29">
        <v>7600</v>
      </c>
      <c r="BH12" s="29">
        <v>3270</v>
      </c>
      <c r="BI12" s="29">
        <v>90</v>
      </c>
      <c r="BJ12" s="98" t="str">
        <f t="shared" si="13"/>
        <v>0</v>
      </c>
      <c r="BK12" s="98" t="str">
        <f t="shared" si="14"/>
        <v>0</v>
      </c>
      <c r="BL12" s="98" t="str">
        <f t="shared" si="15"/>
        <v>0</v>
      </c>
      <c r="BM12" s="98">
        <f t="shared" si="16"/>
        <v>1</v>
      </c>
      <c r="BN12" s="98">
        <f t="shared" si="17"/>
        <v>4532.3999999999996</v>
      </c>
      <c r="BO12" s="98">
        <f t="shared" si="18"/>
        <v>2887.5</v>
      </c>
      <c r="BP12" s="98" t="str">
        <f t="shared" si="19"/>
        <v>0</v>
      </c>
      <c r="BQ12" s="98" t="str">
        <f t="shared" si="20"/>
        <v>0</v>
      </c>
      <c r="BR12" s="98" t="str">
        <f t="shared" si="21"/>
        <v>0</v>
      </c>
      <c r="BS12" s="29"/>
      <c r="BT12" s="29">
        <v>2</v>
      </c>
      <c r="BU12" s="29"/>
      <c r="BV12" s="29"/>
      <c r="BW12" s="29"/>
      <c r="BX12" s="29"/>
      <c r="BY12" s="82">
        <v>826.40000000000009</v>
      </c>
      <c r="BZ12" s="82">
        <v>778</v>
      </c>
      <c r="CA12" s="4">
        <v>1483</v>
      </c>
      <c r="CB12" s="4">
        <f t="shared" si="1"/>
        <v>765</v>
      </c>
      <c r="CC12" s="34">
        <f t="shared" si="2"/>
        <v>1</v>
      </c>
      <c r="CD12" s="35">
        <f t="shared" si="3"/>
        <v>7246</v>
      </c>
      <c r="CE12" s="34" t="str">
        <f t="shared" si="4"/>
        <v>0</v>
      </c>
      <c r="CF12" s="35">
        <f t="shared" si="5"/>
        <v>0</v>
      </c>
      <c r="CG12" s="35">
        <f t="shared" si="22"/>
        <v>1</v>
      </c>
      <c r="CH12" s="35">
        <f t="shared" si="23"/>
        <v>7246</v>
      </c>
      <c r="CI12" s="22">
        <v>29</v>
      </c>
      <c r="CJ12" s="217" t="str">
        <f t="shared" si="24"/>
        <v>0</v>
      </c>
      <c r="CK12" s="217" t="str">
        <f t="shared" si="25"/>
        <v>0</v>
      </c>
      <c r="CL12" s="218">
        <f t="shared" si="26"/>
        <v>5.6217456535169008</v>
      </c>
      <c r="CM12" s="219" t="str">
        <f t="shared" si="27"/>
        <v>0</v>
      </c>
      <c r="CN12" s="219" t="str">
        <f t="shared" si="28"/>
        <v>0</v>
      </c>
      <c r="CO12" s="218">
        <f t="shared" si="29"/>
        <v>5.6217456535169008</v>
      </c>
      <c r="CP12" s="97">
        <v>1</v>
      </c>
      <c r="CQ12" s="97">
        <v>0</v>
      </c>
      <c r="CR12" s="97">
        <v>0</v>
      </c>
      <c r="CS12" s="97">
        <v>0</v>
      </c>
      <c r="CT12" s="97">
        <v>2</v>
      </c>
      <c r="CU12" s="97">
        <v>0</v>
      </c>
      <c r="CV12" s="97">
        <v>0</v>
      </c>
      <c r="CW12" s="97">
        <v>0</v>
      </c>
      <c r="CX12" s="97">
        <v>0</v>
      </c>
      <c r="CY12" s="94">
        <v>70</v>
      </c>
      <c r="CZ12" s="95">
        <v>65</v>
      </c>
      <c r="DA12" s="94">
        <v>5</v>
      </c>
      <c r="DB12" s="97">
        <v>65</v>
      </c>
      <c r="DC12" s="97">
        <v>43</v>
      </c>
      <c r="DD12" s="221">
        <v>120</v>
      </c>
      <c r="DE12" s="97">
        <v>50</v>
      </c>
      <c r="DF12" s="97">
        <v>43</v>
      </c>
      <c r="DG12" s="221">
        <v>120</v>
      </c>
      <c r="DH12" s="97">
        <v>51</v>
      </c>
      <c r="DI12" s="97">
        <v>3</v>
      </c>
      <c r="DJ12" s="97">
        <v>1</v>
      </c>
      <c r="DK12" s="94">
        <v>5</v>
      </c>
      <c r="DL12" s="97">
        <v>1</v>
      </c>
      <c r="DM12" s="97">
        <v>1</v>
      </c>
      <c r="DN12" s="94">
        <v>5</v>
      </c>
      <c r="DO12" s="97">
        <v>1</v>
      </c>
      <c r="DP12" s="92">
        <f t="shared" si="6"/>
        <v>70</v>
      </c>
      <c r="DQ12" s="97">
        <v>70</v>
      </c>
      <c r="DX12" s="105"/>
      <c r="DY12" s="104"/>
    </row>
    <row r="13" spans="1:129">
      <c r="A13" s="24" t="s">
        <v>91</v>
      </c>
      <c r="B13" s="25">
        <v>7</v>
      </c>
      <c r="C13" s="3" t="s">
        <v>163</v>
      </c>
      <c r="D13" s="26">
        <v>1983</v>
      </c>
      <c r="E13" s="27"/>
      <c r="F13" s="27" t="s">
        <v>28</v>
      </c>
      <c r="G13" s="28">
        <v>1</v>
      </c>
      <c r="H13" s="27">
        <v>9</v>
      </c>
      <c r="I13" s="27" t="s">
        <v>95</v>
      </c>
      <c r="J13" s="29">
        <v>29545</v>
      </c>
      <c r="K13" s="29">
        <v>1078</v>
      </c>
      <c r="L13" s="29"/>
      <c r="M13" s="29">
        <v>1078</v>
      </c>
      <c r="N13" s="29">
        <v>105</v>
      </c>
      <c r="O13" s="29">
        <v>285</v>
      </c>
      <c r="P13" s="29">
        <v>106</v>
      </c>
      <c r="Q13" s="8">
        <v>227</v>
      </c>
      <c r="R13" s="38">
        <v>6777.4</v>
      </c>
      <c r="S13" s="32">
        <v>4254.1000000000004</v>
      </c>
      <c r="T13" s="8">
        <f t="shared" si="7"/>
        <v>99</v>
      </c>
      <c r="U13" s="30">
        <f t="shared" si="8"/>
        <v>6417.7</v>
      </c>
      <c r="V13" s="30">
        <f t="shared" si="9"/>
        <v>4027.5000000000005</v>
      </c>
      <c r="W13" s="10">
        <v>6</v>
      </c>
      <c r="X13" s="80">
        <v>359.7</v>
      </c>
      <c r="Y13" s="80">
        <v>226.6</v>
      </c>
      <c r="Z13" s="31"/>
      <c r="AA13" s="31"/>
      <c r="AB13" s="31"/>
      <c r="AC13" s="80">
        <f t="shared" si="10"/>
        <v>0</v>
      </c>
      <c r="AD13" s="38">
        <f t="shared" si="11"/>
        <v>0</v>
      </c>
      <c r="AE13" s="87"/>
      <c r="AF13" s="38">
        <v>0</v>
      </c>
      <c r="AG13" s="87"/>
      <c r="AH13" s="33"/>
      <c r="AI13" s="87">
        <f t="shared" si="30"/>
        <v>6777.4</v>
      </c>
      <c r="AJ13" s="29"/>
      <c r="AK13" s="29">
        <v>3</v>
      </c>
      <c r="AL13" s="29">
        <v>3</v>
      </c>
      <c r="AM13" s="29">
        <v>3</v>
      </c>
      <c r="AN13" s="29"/>
      <c r="AO13" s="29">
        <v>3</v>
      </c>
      <c r="AP13" s="29">
        <v>5400</v>
      </c>
      <c r="AQ13" s="29"/>
      <c r="AR13" s="29">
        <v>1204</v>
      </c>
      <c r="AS13" s="29">
        <v>270</v>
      </c>
      <c r="AT13" s="29">
        <v>429</v>
      </c>
      <c r="AU13" s="29">
        <f t="shared" si="31"/>
        <v>10869</v>
      </c>
      <c r="AV13" s="29">
        <v>10869</v>
      </c>
      <c r="AW13" s="29"/>
      <c r="AX13" s="29">
        <v>2970</v>
      </c>
      <c r="AY13" s="29">
        <v>254</v>
      </c>
      <c r="AZ13" s="29">
        <v>1078</v>
      </c>
      <c r="BA13" s="29">
        <v>1078</v>
      </c>
      <c r="BB13" s="29">
        <v>51</v>
      </c>
      <c r="BC13" s="29">
        <v>6</v>
      </c>
      <c r="BD13" s="29">
        <v>390</v>
      </c>
      <c r="BE13" s="29">
        <v>1020</v>
      </c>
      <c r="BF13" s="29"/>
      <c r="BG13" s="29">
        <v>11400</v>
      </c>
      <c r="BH13" s="29">
        <v>4905</v>
      </c>
      <c r="BI13" s="29">
        <v>135</v>
      </c>
      <c r="BJ13" s="98" t="str">
        <f t="shared" si="13"/>
        <v>0</v>
      </c>
      <c r="BK13" s="98" t="str">
        <f t="shared" si="14"/>
        <v>0</v>
      </c>
      <c r="BL13" s="98" t="str">
        <f t="shared" si="15"/>
        <v>0</v>
      </c>
      <c r="BM13" s="98">
        <f t="shared" si="16"/>
        <v>1</v>
      </c>
      <c r="BN13" s="98">
        <f t="shared" si="17"/>
        <v>6777.4</v>
      </c>
      <c r="BO13" s="98">
        <f t="shared" si="18"/>
        <v>4254.1000000000004</v>
      </c>
      <c r="BP13" s="98" t="str">
        <f t="shared" si="19"/>
        <v>0</v>
      </c>
      <c r="BQ13" s="98" t="str">
        <f t="shared" si="20"/>
        <v>0</v>
      </c>
      <c r="BR13" s="98" t="str">
        <f t="shared" si="21"/>
        <v>0</v>
      </c>
      <c r="BS13" s="29"/>
      <c r="BT13" s="29">
        <v>2</v>
      </c>
      <c r="BU13" s="29"/>
      <c r="BV13" s="29"/>
      <c r="BW13" s="29"/>
      <c r="BX13" s="29"/>
      <c r="BY13" s="82">
        <v>1211.4999999999998</v>
      </c>
      <c r="BZ13" s="82">
        <v>1183.8</v>
      </c>
      <c r="CA13" s="4">
        <v>2351</v>
      </c>
      <c r="CB13" s="4">
        <f t="shared" si="1"/>
        <v>1273</v>
      </c>
      <c r="CC13" s="34">
        <f t="shared" si="2"/>
        <v>1</v>
      </c>
      <c r="CD13" s="35">
        <f t="shared" si="3"/>
        <v>10869</v>
      </c>
      <c r="CE13" s="34" t="str">
        <f t="shared" si="4"/>
        <v>0</v>
      </c>
      <c r="CF13" s="35">
        <f t="shared" si="5"/>
        <v>0</v>
      </c>
      <c r="CG13" s="35">
        <f t="shared" si="22"/>
        <v>1</v>
      </c>
      <c r="CH13" s="35">
        <f t="shared" si="23"/>
        <v>10869</v>
      </c>
      <c r="CI13" s="22">
        <v>27</v>
      </c>
      <c r="CJ13" s="217" t="str">
        <f t="shared" si="24"/>
        <v>0</v>
      </c>
      <c r="CK13" s="217" t="str">
        <f t="shared" si="25"/>
        <v>0</v>
      </c>
      <c r="CL13" s="218">
        <f t="shared" si="26"/>
        <v>5.3073449995573529</v>
      </c>
      <c r="CM13" s="219" t="str">
        <f t="shared" si="27"/>
        <v>0</v>
      </c>
      <c r="CN13" s="219" t="str">
        <f t="shared" si="28"/>
        <v>0</v>
      </c>
      <c r="CO13" s="218">
        <f t="shared" si="29"/>
        <v>5.3073449995573529</v>
      </c>
      <c r="CP13" s="97">
        <v>1</v>
      </c>
      <c r="CQ13" s="97">
        <v>0</v>
      </c>
      <c r="CR13" s="97">
        <v>0</v>
      </c>
      <c r="CS13" s="97">
        <v>0</v>
      </c>
      <c r="CT13" s="97">
        <v>2</v>
      </c>
      <c r="CU13" s="97">
        <v>0</v>
      </c>
      <c r="CV13" s="97">
        <v>0</v>
      </c>
      <c r="CW13" s="97">
        <v>0</v>
      </c>
      <c r="CX13" s="97">
        <v>0</v>
      </c>
      <c r="CY13" s="94">
        <v>105</v>
      </c>
      <c r="CZ13" s="95">
        <v>104</v>
      </c>
      <c r="DA13" s="94">
        <v>1</v>
      </c>
      <c r="DB13" s="97">
        <v>100</v>
      </c>
      <c r="DC13" s="97">
        <v>85</v>
      </c>
      <c r="DD13" s="221">
        <v>172</v>
      </c>
      <c r="DE13" s="97">
        <v>90</v>
      </c>
      <c r="DF13" s="97">
        <v>85</v>
      </c>
      <c r="DG13" s="221">
        <v>172</v>
      </c>
      <c r="DH13" s="97">
        <v>90</v>
      </c>
      <c r="DI13" s="97">
        <v>1</v>
      </c>
      <c r="DJ13" s="97">
        <v>1</v>
      </c>
      <c r="DK13" s="94">
        <v>5</v>
      </c>
      <c r="DL13" s="97">
        <v>1</v>
      </c>
      <c r="DM13" s="97">
        <v>1</v>
      </c>
      <c r="DN13" s="94">
        <v>5</v>
      </c>
      <c r="DO13" s="97">
        <v>1</v>
      </c>
      <c r="DP13" s="92">
        <f t="shared" si="6"/>
        <v>105</v>
      </c>
      <c r="DQ13" s="97">
        <v>105</v>
      </c>
      <c r="DX13" s="105"/>
      <c r="DY13" s="104"/>
    </row>
    <row r="14" spans="1:129">
      <c r="A14" s="24" t="s">
        <v>91</v>
      </c>
      <c r="B14" s="25">
        <v>8</v>
      </c>
      <c r="C14" s="3" t="s">
        <v>70</v>
      </c>
      <c r="D14" s="26">
        <v>1951</v>
      </c>
      <c r="E14" s="27"/>
      <c r="F14" s="27" t="s">
        <v>29</v>
      </c>
      <c r="G14" s="28">
        <v>1</v>
      </c>
      <c r="H14" s="27">
        <v>5</v>
      </c>
      <c r="I14" s="27" t="s">
        <v>96</v>
      </c>
      <c r="J14" s="29">
        <v>42441</v>
      </c>
      <c r="K14" s="29">
        <v>2481</v>
      </c>
      <c r="L14" s="29">
        <v>2647</v>
      </c>
      <c r="M14" s="29">
        <v>0</v>
      </c>
      <c r="N14" s="29">
        <f>85+2+1</f>
        <v>88</v>
      </c>
      <c r="O14" s="29">
        <f>221+2+2+3</f>
        <v>228</v>
      </c>
      <c r="P14" s="29">
        <v>92</v>
      </c>
      <c r="Q14" s="8">
        <v>171</v>
      </c>
      <c r="R14" s="38">
        <f>6161.91+66.29+64.29+83.21</f>
        <v>6375.7</v>
      </c>
      <c r="S14" s="32">
        <f>3867.94+53.09</f>
        <v>3921.03</v>
      </c>
      <c r="T14" s="8">
        <f t="shared" si="7"/>
        <v>78</v>
      </c>
      <c r="U14" s="30">
        <f t="shared" si="8"/>
        <v>5634.3899999999994</v>
      </c>
      <c r="V14" s="30">
        <f t="shared" si="9"/>
        <v>3507.92</v>
      </c>
      <c r="W14" s="10">
        <v>10</v>
      </c>
      <c r="X14" s="80">
        <v>741.31</v>
      </c>
      <c r="Y14" s="80">
        <v>413.11</v>
      </c>
      <c r="Z14" s="31"/>
      <c r="AA14" s="31"/>
      <c r="AB14" s="31"/>
      <c r="AC14" s="80">
        <f t="shared" si="10"/>
        <v>1035.4000000000001</v>
      </c>
      <c r="AD14" s="38">
        <f t="shared" si="11"/>
        <v>754</v>
      </c>
      <c r="AE14" s="87"/>
      <c r="AF14" s="38">
        <f>967.79-66.29-64.29-83.21</f>
        <v>754</v>
      </c>
      <c r="AG14" s="87">
        <v>281.39999999999998</v>
      </c>
      <c r="AH14" s="33"/>
      <c r="AI14" s="87">
        <f t="shared" si="30"/>
        <v>7411.1</v>
      </c>
      <c r="AJ14" s="29"/>
      <c r="AK14" s="29"/>
      <c r="AL14" s="29">
        <v>5</v>
      </c>
      <c r="AM14" s="29"/>
      <c r="AN14" s="29"/>
      <c r="AO14" s="29">
        <v>1</v>
      </c>
      <c r="AP14" s="29">
        <v>4364</v>
      </c>
      <c r="AQ14" s="29">
        <v>1376</v>
      </c>
      <c r="AR14" s="29">
        <v>395</v>
      </c>
      <c r="AS14" s="29">
        <v>304</v>
      </c>
      <c r="AT14" s="29">
        <v>150</v>
      </c>
      <c r="AU14" s="29">
        <f t="shared" si="31"/>
        <v>4965</v>
      </c>
      <c r="AV14" s="29"/>
      <c r="AW14" s="29">
        <v>4965</v>
      </c>
      <c r="AX14" s="29"/>
      <c r="AY14" s="29">
        <v>137</v>
      </c>
      <c r="AZ14" s="29">
        <v>1979</v>
      </c>
      <c r="BA14" s="29">
        <v>1979</v>
      </c>
      <c r="BB14" s="29">
        <v>25</v>
      </c>
      <c r="BC14" s="29">
        <v>10</v>
      </c>
      <c r="BD14" s="29">
        <v>229</v>
      </c>
      <c r="BE14" s="29">
        <v>757</v>
      </c>
      <c r="BF14" s="29"/>
      <c r="BG14" s="29">
        <v>6138</v>
      </c>
      <c r="BH14" s="29">
        <v>190</v>
      </c>
      <c r="BI14" s="29"/>
      <c r="BJ14" s="98">
        <f t="shared" si="13"/>
        <v>1</v>
      </c>
      <c r="BK14" s="98">
        <f t="shared" si="14"/>
        <v>6375.7</v>
      </c>
      <c r="BL14" s="98">
        <f t="shared" si="15"/>
        <v>3921.03</v>
      </c>
      <c r="BM14" s="98" t="str">
        <f t="shared" si="16"/>
        <v>0</v>
      </c>
      <c r="BN14" s="98" t="str">
        <f t="shared" si="17"/>
        <v>0</v>
      </c>
      <c r="BO14" s="98" t="str">
        <f t="shared" si="18"/>
        <v>0</v>
      </c>
      <c r="BP14" s="98" t="str">
        <f t="shared" si="19"/>
        <v>0</v>
      </c>
      <c r="BQ14" s="98" t="str">
        <f t="shared" si="20"/>
        <v>0</v>
      </c>
      <c r="BR14" s="98" t="str">
        <f t="shared" si="21"/>
        <v>0</v>
      </c>
      <c r="BS14" s="29"/>
      <c r="BT14" s="29">
        <v>3</v>
      </c>
      <c r="BU14" s="29">
        <f>BA14</f>
        <v>1979</v>
      </c>
      <c r="BV14" s="29">
        <v>5180</v>
      </c>
      <c r="BW14" s="29"/>
      <c r="BX14" s="29">
        <f>AP14</f>
        <v>4364</v>
      </c>
      <c r="BY14" s="82">
        <v>736.72</v>
      </c>
      <c r="BZ14" s="82">
        <v>736.72</v>
      </c>
      <c r="CA14" s="4">
        <v>5378</v>
      </c>
      <c r="CB14" s="4">
        <f t="shared" si="1"/>
        <v>2897</v>
      </c>
      <c r="CC14" s="34" t="str">
        <f t="shared" si="2"/>
        <v>0</v>
      </c>
      <c r="CD14" s="35">
        <f t="shared" si="3"/>
        <v>0</v>
      </c>
      <c r="CE14" s="34">
        <f t="shared" si="4"/>
        <v>1</v>
      </c>
      <c r="CF14" s="35">
        <f t="shared" si="5"/>
        <v>4965</v>
      </c>
      <c r="CG14" s="35">
        <f t="shared" si="22"/>
        <v>1</v>
      </c>
      <c r="CH14" s="35">
        <f t="shared" si="23"/>
        <v>4965</v>
      </c>
      <c r="CI14" s="22">
        <v>41</v>
      </c>
      <c r="CJ14" s="217" t="str">
        <f t="shared" si="24"/>
        <v>0</v>
      </c>
      <c r="CK14" s="217" t="str">
        <f t="shared" si="25"/>
        <v>0</v>
      </c>
      <c r="CL14" s="218">
        <f t="shared" si="26"/>
        <v>11.627115453989365</v>
      </c>
      <c r="CM14" s="219" t="str">
        <f t="shared" si="27"/>
        <v>0</v>
      </c>
      <c r="CN14" s="219" t="str">
        <f t="shared" si="28"/>
        <v>0</v>
      </c>
      <c r="CO14" s="218">
        <f t="shared" si="29"/>
        <v>20.176626951464694</v>
      </c>
      <c r="CP14" s="97">
        <v>1</v>
      </c>
      <c r="CQ14" s="97">
        <v>0</v>
      </c>
      <c r="CR14" s="97">
        <v>0</v>
      </c>
      <c r="CS14" s="97">
        <v>0</v>
      </c>
      <c r="CT14" s="97">
        <v>2</v>
      </c>
      <c r="CU14" s="97">
        <v>0</v>
      </c>
      <c r="CV14" s="97">
        <v>0</v>
      </c>
      <c r="CW14" s="97">
        <v>0</v>
      </c>
      <c r="CX14" s="97">
        <v>0</v>
      </c>
      <c r="CY14" s="94">
        <v>87</v>
      </c>
      <c r="CZ14" s="95">
        <v>81</v>
      </c>
      <c r="DA14" s="94">
        <v>6</v>
      </c>
      <c r="DB14" s="97">
        <v>72</v>
      </c>
      <c r="DC14" s="97">
        <v>20</v>
      </c>
      <c r="DD14" s="221">
        <v>135</v>
      </c>
      <c r="DE14" s="97">
        <v>33</v>
      </c>
      <c r="DF14" s="97">
        <v>20</v>
      </c>
      <c r="DG14" s="221">
        <v>135</v>
      </c>
      <c r="DH14" s="97">
        <v>38</v>
      </c>
      <c r="DI14" s="97">
        <v>4</v>
      </c>
      <c r="DJ14" s="97">
        <v>0</v>
      </c>
      <c r="DK14" s="94">
        <v>4</v>
      </c>
      <c r="DL14" s="97">
        <v>0</v>
      </c>
      <c r="DM14" s="97">
        <v>0</v>
      </c>
      <c r="DN14" s="94">
        <v>4</v>
      </c>
      <c r="DO14" s="97">
        <v>0</v>
      </c>
      <c r="DP14" s="92">
        <f t="shared" si="6"/>
        <v>87</v>
      </c>
      <c r="DQ14" s="97">
        <v>7</v>
      </c>
      <c r="DX14" s="105"/>
      <c r="DY14" s="104"/>
    </row>
    <row r="15" spans="1:129">
      <c r="A15" s="24" t="s">
        <v>92</v>
      </c>
      <c r="B15" s="25">
        <v>9</v>
      </c>
      <c r="C15" s="3" t="s">
        <v>71</v>
      </c>
      <c r="D15" s="26">
        <v>1987</v>
      </c>
      <c r="E15" s="27"/>
      <c r="F15" s="27" t="s">
        <v>28</v>
      </c>
      <c r="G15" s="28">
        <v>1</v>
      </c>
      <c r="H15" s="27">
        <v>9</v>
      </c>
      <c r="I15" s="27" t="s">
        <v>95</v>
      </c>
      <c r="J15" s="29">
        <v>30048</v>
      </c>
      <c r="K15" s="29">
        <v>1182</v>
      </c>
      <c r="L15" s="29"/>
      <c r="M15" s="29">
        <v>1124</v>
      </c>
      <c r="N15" s="29">
        <v>105</v>
      </c>
      <c r="O15" s="29">
        <v>285</v>
      </c>
      <c r="P15" s="29">
        <v>105</v>
      </c>
      <c r="Q15" s="8">
        <v>295</v>
      </c>
      <c r="R15" s="38">
        <v>6820.46</v>
      </c>
      <c r="S15" s="32">
        <v>4214.3</v>
      </c>
      <c r="T15" s="8">
        <f t="shared" si="7"/>
        <v>100</v>
      </c>
      <c r="U15" s="30">
        <f t="shared" si="8"/>
        <v>6478.96</v>
      </c>
      <c r="V15" s="30">
        <f t="shared" si="9"/>
        <v>4000.2000000000003</v>
      </c>
      <c r="W15" s="10">
        <v>5</v>
      </c>
      <c r="X15" s="80">
        <v>341.5</v>
      </c>
      <c r="Y15" s="80">
        <v>214.1</v>
      </c>
      <c r="Z15" s="31"/>
      <c r="AA15" s="31"/>
      <c r="AB15" s="31"/>
      <c r="AC15" s="80">
        <f t="shared" si="10"/>
        <v>0</v>
      </c>
      <c r="AD15" s="38">
        <f t="shared" si="11"/>
        <v>0</v>
      </c>
      <c r="AE15" s="87"/>
      <c r="AF15" s="38">
        <v>0</v>
      </c>
      <c r="AG15" s="87"/>
      <c r="AH15" s="33"/>
      <c r="AI15" s="87">
        <f t="shared" si="30"/>
        <v>6820.46</v>
      </c>
      <c r="AJ15" s="29"/>
      <c r="AK15" s="29">
        <v>3</v>
      </c>
      <c r="AL15" s="29">
        <v>3</v>
      </c>
      <c r="AM15" s="29">
        <v>3</v>
      </c>
      <c r="AN15" s="29"/>
      <c r="AO15" s="29">
        <v>3</v>
      </c>
      <c r="AP15" s="29">
        <v>5400</v>
      </c>
      <c r="AQ15" s="29"/>
      <c r="AR15" s="29">
        <v>390</v>
      </c>
      <c r="AS15" s="29">
        <v>360</v>
      </c>
      <c r="AT15" s="29">
        <v>429</v>
      </c>
      <c r="AU15" s="29">
        <f t="shared" si="31"/>
        <v>6369</v>
      </c>
      <c r="AV15" s="29"/>
      <c r="AW15" s="29">
        <v>6369</v>
      </c>
      <c r="AX15" s="29">
        <v>2970</v>
      </c>
      <c r="AY15" s="29">
        <v>185</v>
      </c>
      <c r="AZ15" s="29">
        <v>1083</v>
      </c>
      <c r="BA15" s="29">
        <v>1083</v>
      </c>
      <c r="BB15" s="29">
        <v>51</v>
      </c>
      <c r="BC15" s="29">
        <v>6</v>
      </c>
      <c r="BD15" s="29">
        <v>390</v>
      </c>
      <c r="BE15" s="29">
        <v>1020</v>
      </c>
      <c r="BF15" s="29"/>
      <c r="BG15" s="29">
        <v>11400</v>
      </c>
      <c r="BH15" s="29">
        <v>4905</v>
      </c>
      <c r="BI15" s="29">
        <v>135</v>
      </c>
      <c r="BJ15" s="98" t="str">
        <f t="shared" si="13"/>
        <v>0</v>
      </c>
      <c r="BK15" s="98" t="str">
        <f t="shared" si="14"/>
        <v>0</v>
      </c>
      <c r="BL15" s="98" t="str">
        <f t="shared" si="15"/>
        <v>0</v>
      </c>
      <c r="BM15" s="98">
        <f t="shared" si="16"/>
        <v>1</v>
      </c>
      <c r="BN15" s="98">
        <f t="shared" si="17"/>
        <v>6820.46</v>
      </c>
      <c r="BO15" s="98">
        <f t="shared" si="18"/>
        <v>4214.3</v>
      </c>
      <c r="BP15" s="98" t="str">
        <f t="shared" si="19"/>
        <v>0</v>
      </c>
      <c r="BQ15" s="98" t="str">
        <f t="shared" si="20"/>
        <v>0</v>
      </c>
      <c r="BR15" s="98" t="str">
        <f t="shared" si="21"/>
        <v>0</v>
      </c>
      <c r="BS15" s="29"/>
      <c r="BT15" s="29">
        <v>2</v>
      </c>
      <c r="BU15" s="29"/>
      <c r="BV15" s="29"/>
      <c r="BW15" s="29"/>
      <c r="BX15" s="29"/>
      <c r="BY15" s="82">
        <v>1262.5000000000002</v>
      </c>
      <c r="BZ15" s="82">
        <v>1187.1400000000001</v>
      </c>
      <c r="CA15" s="4">
        <v>2521</v>
      </c>
      <c r="CB15" s="4">
        <f t="shared" si="1"/>
        <v>1339</v>
      </c>
      <c r="CC15" s="34" t="str">
        <f t="shared" si="2"/>
        <v>0</v>
      </c>
      <c r="CD15" s="35">
        <f t="shared" si="3"/>
        <v>0</v>
      </c>
      <c r="CE15" s="34">
        <f t="shared" si="4"/>
        <v>1</v>
      </c>
      <c r="CF15" s="35">
        <f t="shared" si="5"/>
        <v>6369</v>
      </c>
      <c r="CG15" s="35">
        <f t="shared" si="22"/>
        <v>1</v>
      </c>
      <c r="CH15" s="35">
        <f t="shared" si="23"/>
        <v>6369</v>
      </c>
      <c r="CI15" s="22">
        <v>33</v>
      </c>
      <c r="CJ15" s="217" t="str">
        <f t="shared" si="24"/>
        <v>0</v>
      </c>
      <c r="CK15" s="217" t="str">
        <f t="shared" si="25"/>
        <v>0</v>
      </c>
      <c r="CL15" s="218">
        <f t="shared" si="26"/>
        <v>5.0069936631840086</v>
      </c>
      <c r="CM15" s="219" t="str">
        <f t="shared" si="27"/>
        <v>0</v>
      </c>
      <c r="CN15" s="219" t="str">
        <f t="shared" si="28"/>
        <v>0</v>
      </c>
      <c r="CO15" s="218">
        <f t="shared" si="29"/>
        <v>5.0069936631840086</v>
      </c>
      <c r="CP15" s="97">
        <v>1</v>
      </c>
      <c r="CQ15" s="97">
        <v>0</v>
      </c>
      <c r="CR15" s="97">
        <v>0</v>
      </c>
      <c r="CS15" s="97">
        <v>0</v>
      </c>
      <c r="CT15" s="97">
        <v>2</v>
      </c>
      <c r="CU15" s="97">
        <v>0</v>
      </c>
      <c r="CV15" s="97">
        <v>0</v>
      </c>
      <c r="CW15" s="97">
        <v>0</v>
      </c>
      <c r="CX15" s="97">
        <v>0</v>
      </c>
      <c r="CY15" s="94">
        <v>105</v>
      </c>
      <c r="CZ15" s="95">
        <v>100</v>
      </c>
      <c r="DA15" s="94">
        <v>5</v>
      </c>
      <c r="DB15" s="97">
        <v>99</v>
      </c>
      <c r="DC15" s="97">
        <v>63</v>
      </c>
      <c r="DD15" s="221">
        <v>171</v>
      </c>
      <c r="DE15" s="97">
        <v>84</v>
      </c>
      <c r="DF15" s="97">
        <v>63</v>
      </c>
      <c r="DG15" s="221">
        <v>171</v>
      </c>
      <c r="DH15" s="97">
        <v>84</v>
      </c>
      <c r="DI15" s="97">
        <v>5</v>
      </c>
      <c r="DJ15" s="97">
        <v>1</v>
      </c>
      <c r="DK15" s="94">
        <v>5</v>
      </c>
      <c r="DL15" s="97">
        <v>1</v>
      </c>
      <c r="DM15" s="97">
        <v>1</v>
      </c>
      <c r="DN15" s="94">
        <v>5</v>
      </c>
      <c r="DO15" s="97">
        <v>1</v>
      </c>
      <c r="DP15" s="92">
        <f t="shared" si="6"/>
        <v>105</v>
      </c>
      <c r="DQ15" s="97">
        <v>105</v>
      </c>
      <c r="DX15" s="105"/>
      <c r="DY15" s="104"/>
    </row>
    <row r="16" spans="1:129" s="37" customFormat="1">
      <c r="A16" s="24" t="s">
        <v>92</v>
      </c>
      <c r="B16" s="25">
        <v>10</v>
      </c>
      <c r="C16" s="3" t="s">
        <v>72</v>
      </c>
      <c r="D16" s="26">
        <v>1951</v>
      </c>
      <c r="E16" s="27"/>
      <c r="F16" s="27" t="s">
        <v>29</v>
      </c>
      <c r="G16" s="28">
        <v>1</v>
      </c>
      <c r="H16" s="27">
        <v>5</v>
      </c>
      <c r="I16" s="27" t="s">
        <v>96</v>
      </c>
      <c r="J16" s="29">
        <v>36797</v>
      </c>
      <c r="K16" s="29">
        <v>1979</v>
      </c>
      <c r="L16" s="29">
        <v>2869</v>
      </c>
      <c r="M16" s="29"/>
      <c r="N16" s="29">
        <v>80</v>
      </c>
      <c r="O16" s="29">
        <v>176</v>
      </c>
      <c r="P16" s="29">
        <v>87</v>
      </c>
      <c r="Q16" s="8">
        <v>169</v>
      </c>
      <c r="R16" s="38">
        <v>5274.6</v>
      </c>
      <c r="S16" s="32">
        <v>2903.7</v>
      </c>
      <c r="T16" s="8">
        <f t="shared" si="7"/>
        <v>77</v>
      </c>
      <c r="U16" s="30">
        <f t="shared" si="8"/>
        <v>5082.5</v>
      </c>
      <c r="V16" s="30">
        <f t="shared" si="9"/>
        <v>2800.7</v>
      </c>
      <c r="W16" s="10">
        <v>3</v>
      </c>
      <c r="X16" s="80">
        <v>192.1</v>
      </c>
      <c r="Y16" s="80">
        <v>103</v>
      </c>
      <c r="Z16" s="31"/>
      <c r="AA16" s="31"/>
      <c r="AB16" s="31"/>
      <c r="AC16" s="80">
        <f t="shared" si="10"/>
        <v>3803.8999999999996</v>
      </c>
      <c r="AD16" s="38">
        <f t="shared" si="11"/>
        <v>1079.8999999999999</v>
      </c>
      <c r="AE16" s="87"/>
      <c r="AF16" s="38">
        <f>3547.48-2478.3-7-4.68+22.4</f>
        <v>1079.8999999999999</v>
      </c>
      <c r="AG16" s="87">
        <f>245.7+2478.3-2478.3</f>
        <v>245.69999999999982</v>
      </c>
      <c r="AH16" s="33">
        <f>2478.3</f>
        <v>2478.3000000000002</v>
      </c>
      <c r="AI16" s="87">
        <f t="shared" si="30"/>
        <v>9078.5</v>
      </c>
      <c r="AJ16" s="29"/>
      <c r="AK16" s="29"/>
      <c r="AL16" s="29">
        <v>5</v>
      </c>
      <c r="AM16" s="29"/>
      <c r="AN16" s="29"/>
      <c r="AO16" s="29">
        <v>1</v>
      </c>
      <c r="AP16" s="29">
        <v>5950</v>
      </c>
      <c r="AQ16" s="29">
        <v>1376</v>
      </c>
      <c r="AR16" s="29">
        <v>290</v>
      </c>
      <c r="AS16" s="29">
        <v>517</v>
      </c>
      <c r="AT16" s="29">
        <v>150</v>
      </c>
      <c r="AU16" s="29">
        <f t="shared" si="31"/>
        <v>4965</v>
      </c>
      <c r="AV16" s="29"/>
      <c r="AW16" s="29">
        <v>4965</v>
      </c>
      <c r="AX16" s="29"/>
      <c r="AY16" s="29">
        <v>488</v>
      </c>
      <c r="AZ16" s="29">
        <v>2400</v>
      </c>
      <c r="BA16" s="29">
        <v>2400</v>
      </c>
      <c r="BB16" s="29">
        <v>25</v>
      </c>
      <c r="BC16" s="29">
        <v>10</v>
      </c>
      <c r="BD16" s="29">
        <v>256</v>
      </c>
      <c r="BE16" s="29">
        <v>736</v>
      </c>
      <c r="BF16" s="29"/>
      <c r="BG16" s="29">
        <v>11102</v>
      </c>
      <c r="BH16" s="29">
        <v>190</v>
      </c>
      <c r="BI16" s="29"/>
      <c r="BJ16" s="98">
        <f t="shared" si="13"/>
        <v>1</v>
      </c>
      <c r="BK16" s="98">
        <f t="shared" si="14"/>
        <v>5274.6</v>
      </c>
      <c r="BL16" s="98">
        <f t="shared" si="15"/>
        <v>2903.7</v>
      </c>
      <c r="BM16" s="98" t="str">
        <f t="shared" si="16"/>
        <v>0</v>
      </c>
      <c r="BN16" s="98" t="str">
        <f t="shared" si="17"/>
        <v>0</v>
      </c>
      <c r="BO16" s="98" t="str">
        <f t="shared" si="18"/>
        <v>0</v>
      </c>
      <c r="BP16" s="98" t="str">
        <f t="shared" si="19"/>
        <v>0</v>
      </c>
      <c r="BQ16" s="98" t="str">
        <f t="shared" si="20"/>
        <v>0</v>
      </c>
      <c r="BR16" s="98" t="str">
        <f t="shared" si="21"/>
        <v>0</v>
      </c>
      <c r="BS16" s="29"/>
      <c r="BT16" s="29">
        <v>5</v>
      </c>
      <c r="BU16" s="29">
        <f>BA16</f>
        <v>2400</v>
      </c>
      <c r="BV16" s="29">
        <v>5895</v>
      </c>
      <c r="BW16" s="29"/>
      <c r="BX16" s="29">
        <f>AP16</f>
        <v>5950</v>
      </c>
      <c r="BY16" s="82">
        <v>654.80000000000007</v>
      </c>
      <c r="BZ16" s="82">
        <v>654.79999999999995</v>
      </c>
      <c r="CA16" s="4">
        <v>4552</v>
      </c>
      <c r="CB16" s="4">
        <f t="shared" si="1"/>
        <v>2573</v>
      </c>
      <c r="CC16" s="34" t="str">
        <f t="shared" si="2"/>
        <v>0</v>
      </c>
      <c r="CD16" s="35">
        <f t="shared" si="3"/>
        <v>0</v>
      </c>
      <c r="CE16" s="34">
        <f t="shared" si="4"/>
        <v>1</v>
      </c>
      <c r="CF16" s="35">
        <f t="shared" si="5"/>
        <v>4965</v>
      </c>
      <c r="CG16" s="35">
        <f t="shared" si="22"/>
        <v>1</v>
      </c>
      <c r="CH16" s="35">
        <f t="shared" si="23"/>
        <v>4965</v>
      </c>
      <c r="CI16" s="36">
        <v>44</v>
      </c>
      <c r="CJ16" s="217" t="str">
        <f t="shared" si="24"/>
        <v>0</v>
      </c>
      <c r="CK16" s="217" t="str">
        <f t="shared" si="25"/>
        <v>0</v>
      </c>
      <c r="CL16" s="218">
        <f t="shared" si="26"/>
        <v>3.6419823304136805</v>
      </c>
      <c r="CM16" s="219" t="str">
        <f t="shared" si="27"/>
        <v>0</v>
      </c>
      <c r="CN16" s="219" t="str">
        <f t="shared" si="28"/>
        <v>0</v>
      </c>
      <c r="CO16" s="218">
        <f t="shared" si="29"/>
        <v>14.011125185878722</v>
      </c>
      <c r="CP16" s="97">
        <v>1</v>
      </c>
      <c r="CQ16" s="97">
        <v>0</v>
      </c>
      <c r="CR16" s="97">
        <v>0</v>
      </c>
      <c r="CS16" s="97">
        <v>0</v>
      </c>
      <c r="CT16" s="97">
        <v>2</v>
      </c>
      <c r="CU16" s="97">
        <v>0</v>
      </c>
      <c r="CV16" s="97">
        <v>0</v>
      </c>
      <c r="CW16" s="97">
        <v>0</v>
      </c>
      <c r="CX16" s="97">
        <v>0</v>
      </c>
      <c r="CY16" s="94">
        <v>80</v>
      </c>
      <c r="CZ16" s="95">
        <v>78</v>
      </c>
      <c r="DA16" s="94">
        <v>2</v>
      </c>
      <c r="DB16" s="97">
        <v>71</v>
      </c>
      <c r="DC16" s="97">
        <v>35</v>
      </c>
      <c r="DD16" s="221">
        <v>105</v>
      </c>
      <c r="DE16" s="97">
        <v>48</v>
      </c>
      <c r="DF16" s="97">
        <v>35</v>
      </c>
      <c r="DG16" s="221">
        <v>105</v>
      </c>
      <c r="DH16" s="97">
        <v>48</v>
      </c>
      <c r="DI16" s="97">
        <v>1</v>
      </c>
      <c r="DJ16" s="97">
        <v>0</v>
      </c>
      <c r="DK16" s="94">
        <v>0</v>
      </c>
      <c r="DL16" s="97">
        <v>0</v>
      </c>
      <c r="DM16" s="97">
        <v>0</v>
      </c>
      <c r="DN16" s="94">
        <v>0</v>
      </c>
      <c r="DO16" s="97">
        <v>0</v>
      </c>
      <c r="DP16" s="92">
        <f t="shared" si="6"/>
        <v>80</v>
      </c>
      <c r="DQ16" s="97">
        <v>42</v>
      </c>
      <c r="DX16" s="104"/>
      <c r="DY16" s="104"/>
    </row>
    <row r="17" spans="1:129" s="37" customFormat="1">
      <c r="A17" s="24" t="s">
        <v>92</v>
      </c>
      <c r="B17" s="25">
        <v>11</v>
      </c>
      <c r="C17" s="3" t="s">
        <v>73</v>
      </c>
      <c r="D17" s="26">
        <v>1987</v>
      </c>
      <c r="E17" s="27"/>
      <c r="F17" s="27" t="s">
        <v>28</v>
      </c>
      <c r="G17" s="28">
        <v>1</v>
      </c>
      <c r="H17" s="27">
        <v>9</v>
      </c>
      <c r="I17" s="27" t="s">
        <v>95</v>
      </c>
      <c r="J17" s="29">
        <v>29303</v>
      </c>
      <c r="K17" s="29">
        <v>1200</v>
      </c>
      <c r="L17" s="29"/>
      <c r="M17" s="29">
        <v>1122</v>
      </c>
      <c r="N17" s="29">
        <v>105</v>
      </c>
      <c r="O17" s="29">
        <v>285</v>
      </c>
      <c r="P17" s="29">
        <v>105</v>
      </c>
      <c r="Q17" s="8">
        <v>262</v>
      </c>
      <c r="R17" s="38">
        <v>6814</v>
      </c>
      <c r="S17" s="32">
        <v>4203.1000000000004</v>
      </c>
      <c r="T17" s="8">
        <f t="shared" si="7"/>
        <v>101</v>
      </c>
      <c r="U17" s="30">
        <f t="shared" si="8"/>
        <v>6532.5</v>
      </c>
      <c r="V17" s="30">
        <f t="shared" si="9"/>
        <v>4032.8</v>
      </c>
      <c r="W17" s="10">
        <v>4</v>
      </c>
      <c r="X17" s="80">
        <v>281.5</v>
      </c>
      <c r="Y17" s="80">
        <v>170.3</v>
      </c>
      <c r="Z17" s="31"/>
      <c r="AA17" s="31"/>
      <c r="AB17" s="31"/>
      <c r="AC17" s="80">
        <f t="shared" si="10"/>
        <v>0</v>
      </c>
      <c r="AD17" s="38">
        <f t="shared" si="11"/>
        <v>0</v>
      </c>
      <c r="AE17" s="87"/>
      <c r="AF17" s="38">
        <v>0</v>
      </c>
      <c r="AG17" s="87"/>
      <c r="AH17" s="33"/>
      <c r="AI17" s="87">
        <f t="shared" si="30"/>
        <v>6814</v>
      </c>
      <c r="AJ17" s="29"/>
      <c r="AK17" s="29">
        <v>3</v>
      </c>
      <c r="AL17" s="29">
        <v>3</v>
      </c>
      <c r="AM17" s="29">
        <v>3</v>
      </c>
      <c r="AN17" s="29"/>
      <c r="AO17" s="29">
        <v>3</v>
      </c>
      <c r="AP17" s="29">
        <v>5400</v>
      </c>
      <c r="AQ17" s="29"/>
      <c r="AR17" s="29">
        <v>345</v>
      </c>
      <c r="AS17" s="29">
        <v>396</v>
      </c>
      <c r="AT17" s="29">
        <v>429</v>
      </c>
      <c r="AU17" s="29">
        <f t="shared" si="31"/>
        <v>10869</v>
      </c>
      <c r="AV17" s="29"/>
      <c r="AW17" s="29">
        <v>10869</v>
      </c>
      <c r="AX17" s="29">
        <v>2970</v>
      </c>
      <c r="AY17" s="29">
        <v>180</v>
      </c>
      <c r="AZ17" s="29">
        <v>1081</v>
      </c>
      <c r="BA17" s="29">
        <v>1081</v>
      </c>
      <c r="BB17" s="29">
        <v>51</v>
      </c>
      <c r="BC17" s="29">
        <v>6</v>
      </c>
      <c r="BD17" s="29">
        <v>389</v>
      </c>
      <c r="BE17" s="29">
        <v>1020</v>
      </c>
      <c r="BF17" s="29"/>
      <c r="BG17" s="29">
        <v>11400</v>
      </c>
      <c r="BH17" s="29">
        <v>4905</v>
      </c>
      <c r="BI17" s="29">
        <v>1345</v>
      </c>
      <c r="BJ17" s="98" t="str">
        <f t="shared" si="13"/>
        <v>0</v>
      </c>
      <c r="BK17" s="98" t="str">
        <f t="shared" si="14"/>
        <v>0</v>
      </c>
      <c r="BL17" s="98" t="str">
        <f t="shared" si="15"/>
        <v>0</v>
      </c>
      <c r="BM17" s="98">
        <f t="shared" si="16"/>
        <v>1</v>
      </c>
      <c r="BN17" s="98">
        <f t="shared" si="17"/>
        <v>6814</v>
      </c>
      <c r="BO17" s="98">
        <f t="shared" si="18"/>
        <v>4203.1000000000004</v>
      </c>
      <c r="BP17" s="98" t="str">
        <f t="shared" si="19"/>
        <v>0</v>
      </c>
      <c r="BQ17" s="98" t="str">
        <f t="shared" si="20"/>
        <v>0</v>
      </c>
      <c r="BR17" s="98" t="str">
        <f t="shared" si="21"/>
        <v>0</v>
      </c>
      <c r="BS17" s="29"/>
      <c r="BT17" s="29">
        <v>2</v>
      </c>
      <c r="BU17" s="29"/>
      <c r="BV17" s="29"/>
      <c r="BW17" s="29"/>
      <c r="BX17" s="29"/>
      <c r="BY17" s="82">
        <v>2159.7000000000003</v>
      </c>
      <c r="BZ17" s="82">
        <v>1171.5999999999999</v>
      </c>
      <c r="CA17" s="4">
        <v>2427</v>
      </c>
      <c r="CB17" s="4">
        <f t="shared" si="1"/>
        <v>1227</v>
      </c>
      <c r="CC17" s="34" t="str">
        <f t="shared" si="2"/>
        <v>0</v>
      </c>
      <c r="CD17" s="35">
        <f t="shared" si="3"/>
        <v>0</v>
      </c>
      <c r="CE17" s="34">
        <f t="shared" si="4"/>
        <v>1</v>
      </c>
      <c r="CF17" s="35">
        <f t="shared" si="5"/>
        <v>10869</v>
      </c>
      <c r="CG17" s="35">
        <f t="shared" si="22"/>
        <v>1</v>
      </c>
      <c r="CH17" s="35">
        <f t="shared" si="23"/>
        <v>10869</v>
      </c>
      <c r="CI17" s="36">
        <v>27</v>
      </c>
      <c r="CJ17" s="217" t="str">
        <f t="shared" si="24"/>
        <v>0</v>
      </c>
      <c r="CK17" s="217" t="str">
        <f t="shared" si="25"/>
        <v>0</v>
      </c>
      <c r="CL17" s="218">
        <f t="shared" si="26"/>
        <v>4.1312004696213673</v>
      </c>
      <c r="CM17" s="219" t="str">
        <f t="shared" si="27"/>
        <v>0</v>
      </c>
      <c r="CN17" s="219" t="str">
        <f t="shared" si="28"/>
        <v>0</v>
      </c>
      <c r="CO17" s="218">
        <f t="shared" si="29"/>
        <v>4.1312004696213673</v>
      </c>
      <c r="CP17" s="97">
        <v>1</v>
      </c>
      <c r="CQ17" s="97">
        <v>0</v>
      </c>
      <c r="CR17" s="97">
        <v>0</v>
      </c>
      <c r="CS17" s="97">
        <v>0</v>
      </c>
      <c r="CT17" s="97">
        <v>2</v>
      </c>
      <c r="CU17" s="97">
        <v>0</v>
      </c>
      <c r="CV17" s="97">
        <v>0</v>
      </c>
      <c r="CW17" s="97">
        <v>0</v>
      </c>
      <c r="CX17" s="97">
        <v>0</v>
      </c>
      <c r="CY17" s="94">
        <v>105</v>
      </c>
      <c r="CZ17" s="95">
        <v>102</v>
      </c>
      <c r="DA17" s="94">
        <v>3</v>
      </c>
      <c r="DB17" s="97">
        <v>99</v>
      </c>
      <c r="DC17" s="97">
        <v>61</v>
      </c>
      <c r="DD17" s="221">
        <v>173</v>
      </c>
      <c r="DE17" s="97">
        <v>77</v>
      </c>
      <c r="DF17" s="97">
        <v>61</v>
      </c>
      <c r="DG17" s="221">
        <v>173</v>
      </c>
      <c r="DH17" s="97">
        <v>79</v>
      </c>
      <c r="DI17" s="97">
        <v>1</v>
      </c>
      <c r="DJ17" s="97">
        <v>2</v>
      </c>
      <c r="DK17" s="94">
        <v>4</v>
      </c>
      <c r="DL17" s="97">
        <v>3</v>
      </c>
      <c r="DM17" s="97">
        <v>2</v>
      </c>
      <c r="DN17" s="94">
        <v>4</v>
      </c>
      <c r="DO17" s="97">
        <v>3</v>
      </c>
      <c r="DP17" s="92">
        <f t="shared" si="6"/>
        <v>105</v>
      </c>
      <c r="DQ17" s="97">
        <v>105</v>
      </c>
      <c r="DX17" s="104"/>
      <c r="DY17" s="104"/>
    </row>
    <row r="18" spans="1:129" s="37" customFormat="1">
      <c r="A18" s="24" t="s">
        <v>92</v>
      </c>
      <c r="B18" s="25">
        <v>12</v>
      </c>
      <c r="C18" s="3" t="s">
        <v>74</v>
      </c>
      <c r="D18" s="26">
        <v>1954</v>
      </c>
      <c r="E18" s="27"/>
      <c r="F18" s="27" t="s">
        <v>29</v>
      </c>
      <c r="G18" s="28">
        <v>1</v>
      </c>
      <c r="H18" s="27">
        <v>5</v>
      </c>
      <c r="I18" s="27" t="s">
        <v>96</v>
      </c>
      <c r="J18" s="29">
        <v>37017</v>
      </c>
      <c r="K18" s="29">
        <v>2314</v>
      </c>
      <c r="L18" s="29">
        <v>2838</v>
      </c>
      <c r="M18" s="29">
        <v>0</v>
      </c>
      <c r="N18" s="29">
        <v>95</v>
      </c>
      <c r="O18" s="29">
        <v>231</v>
      </c>
      <c r="P18" s="29">
        <v>98</v>
      </c>
      <c r="Q18" s="9">
        <v>180</v>
      </c>
      <c r="R18" s="38">
        <v>6262.63</v>
      </c>
      <c r="S18" s="32">
        <v>3781.77</v>
      </c>
      <c r="T18" s="9">
        <f t="shared" si="7"/>
        <v>92</v>
      </c>
      <c r="U18" s="30">
        <f t="shared" si="8"/>
        <v>6069.35</v>
      </c>
      <c r="V18" s="30">
        <f t="shared" si="9"/>
        <v>3667.32</v>
      </c>
      <c r="W18" s="10">
        <v>3</v>
      </c>
      <c r="X18" s="80">
        <v>193.28</v>
      </c>
      <c r="Y18" s="80">
        <v>114.45</v>
      </c>
      <c r="Z18" s="31"/>
      <c r="AA18" s="31"/>
      <c r="AB18" s="31"/>
      <c r="AC18" s="80">
        <f t="shared" si="10"/>
        <v>1930</v>
      </c>
      <c r="AD18" s="38">
        <f t="shared" si="11"/>
        <v>1587.3</v>
      </c>
      <c r="AE18" s="87"/>
      <c r="AF18" s="38">
        <v>1587.3</v>
      </c>
      <c r="AG18" s="87">
        <f>326+16.7</f>
        <v>342.7</v>
      </c>
      <c r="AH18" s="33"/>
      <c r="AI18" s="87">
        <f t="shared" si="30"/>
        <v>8192.630000000001</v>
      </c>
      <c r="AJ18" s="29"/>
      <c r="AK18" s="29"/>
      <c r="AL18" s="29">
        <v>5</v>
      </c>
      <c r="AM18" s="29"/>
      <c r="AN18" s="29"/>
      <c r="AO18" s="29">
        <v>2</v>
      </c>
      <c r="AP18" s="29">
        <v>5640</v>
      </c>
      <c r="AQ18" s="29">
        <v>1500</v>
      </c>
      <c r="AR18" s="29">
        <v>505</v>
      </c>
      <c r="AS18" s="29">
        <v>490</v>
      </c>
      <c r="AT18" s="29">
        <v>150</v>
      </c>
      <c r="AU18" s="29">
        <f t="shared" si="31"/>
        <v>4965</v>
      </c>
      <c r="AV18" s="29"/>
      <c r="AW18" s="29">
        <v>4965</v>
      </c>
      <c r="AX18" s="29"/>
      <c r="AY18" s="29">
        <v>144</v>
      </c>
      <c r="AZ18" s="29">
        <v>2300</v>
      </c>
      <c r="BA18" s="29">
        <v>2300</v>
      </c>
      <c r="BB18" s="29">
        <v>25</v>
      </c>
      <c r="BC18" s="29">
        <v>12</v>
      </c>
      <c r="BD18" s="29">
        <v>420</v>
      </c>
      <c r="BE18" s="29">
        <v>1040</v>
      </c>
      <c r="BF18" s="29"/>
      <c r="BG18" s="29">
        <v>7110</v>
      </c>
      <c r="BH18" s="29">
        <v>190</v>
      </c>
      <c r="BI18" s="29"/>
      <c r="BJ18" s="98">
        <f t="shared" si="13"/>
        <v>1</v>
      </c>
      <c r="BK18" s="98">
        <f t="shared" si="14"/>
        <v>6262.63</v>
      </c>
      <c r="BL18" s="98">
        <f t="shared" si="15"/>
        <v>3781.77</v>
      </c>
      <c r="BM18" s="98" t="str">
        <f t="shared" si="16"/>
        <v>0</v>
      </c>
      <c r="BN18" s="98" t="str">
        <f t="shared" si="17"/>
        <v>0</v>
      </c>
      <c r="BO18" s="98" t="str">
        <f t="shared" si="18"/>
        <v>0</v>
      </c>
      <c r="BP18" s="98" t="str">
        <f t="shared" si="19"/>
        <v>0</v>
      </c>
      <c r="BQ18" s="98" t="str">
        <f t="shared" si="20"/>
        <v>0</v>
      </c>
      <c r="BR18" s="98" t="str">
        <f t="shared" si="21"/>
        <v>0</v>
      </c>
      <c r="BS18" s="29"/>
      <c r="BT18" s="29">
        <v>6</v>
      </c>
      <c r="BU18" s="29">
        <f>BA18</f>
        <v>2300</v>
      </c>
      <c r="BV18" s="29">
        <v>6725</v>
      </c>
      <c r="BW18" s="29"/>
      <c r="BX18" s="29">
        <f>AP18</f>
        <v>5640</v>
      </c>
      <c r="BY18" s="82">
        <v>620.97</v>
      </c>
      <c r="BZ18" s="82">
        <v>571.65</v>
      </c>
      <c r="CA18" s="4">
        <v>5109</v>
      </c>
      <c r="CB18" s="4">
        <f t="shared" si="1"/>
        <v>2795</v>
      </c>
      <c r="CC18" s="34" t="str">
        <f t="shared" si="2"/>
        <v>0</v>
      </c>
      <c r="CD18" s="35">
        <f t="shared" si="3"/>
        <v>0</v>
      </c>
      <c r="CE18" s="34">
        <f t="shared" si="4"/>
        <v>1</v>
      </c>
      <c r="CF18" s="35">
        <f t="shared" si="5"/>
        <v>4965</v>
      </c>
      <c r="CG18" s="35">
        <f t="shared" si="22"/>
        <v>1</v>
      </c>
      <c r="CH18" s="35">
        <f t="shared" si="23"/>
        <v>4965</v>
      </c>
      <c r="CI18" s="36">
        <v>46</v>
      </c>
      <c r="CJ18" s="217" t="str">
        <f t="shared" si="24"/>
        <v>0</v>
      </c>
      <c r="CK18" s="217" t="str">
        <f t="shared" si="25"/>
        <v>0</v>
      </c>
      <c r="CL18" s="218">
        <f t="shared" si="26"/>
        <v>3.0862433194999546</v>
      </c>
      <c r="CM18" s="219" t="str">
        <f t="shared" si="27"/>
        <v>0</v>
      </c>
      <c r="CN18" s="219" t="str">
        <f t="shared" si="28"/>
        <v>0</v>
      </c>
      <c r="CO18" s="218">
        <f t="shared" si="29"/>
        <v>21.733924270960603</v>
      </c>
      <c r="CP18" s="97">
        <v>1</v>
      </c>
      <c r="CQ18" s="97">
        <v>0</v>
      </c>
      <c r="CR18" s="97">
        <v>0</v>
      </c>
      <c r="CS18" s="97">
        <v>0</v>
      </c>
      <c r="CT18" s="97">
        <v>1</v>
      </c>
      <c r="CU18" s="97">
        <v>0</v>
      </c>
      <c r="CV18" s="97">
        <v>0</v>
      </c>
      <c r="CW18" s="97">
        <v>0</v>
      </c>
      <c r="CX18" s="97">
        <v>0</v>
      </c>
      <c r="CY18" s="94">
        <v>95</v>
      </c>
      <c r="CZ18" s="95">
        <v>95</v>
      </c>
      <c r="DA18" s="94">
        <v>0</v>
      </c>
      <c r="DB18" s="97">
        <v>88</v>
      </c>
      <c r="DC18" s="97">
        <v>39</v>
      </c>
      <c r="DD18" s="221">
        <v>139</v>
      </c>
      <c r="DE18" s="97">
        <v>42</v>
      </c>
      <c r="DF18" s="97">
        <v>39</v>
      </c>
      <c r="DG18" s="221">
        <v>139</v>
      </c>
      <c r="DH18" s="97">
        <v>48</v>
      </c>
      <c r="DI18" s="97">
        <v>0</v>
      </c>
      <c r="DJ18" s="97">
        <v>0</v>
      </c>
      <c r="DK18" s="94">
        <v>0</v>
      </c>
      <c r="DL18" s="97">
        <v>0</v>
      </c>
      <c r="DM18" s="97">
        <v>0</v>
      </c>
      <c r="DN18" s="94">
        <v>0</v>
      </c>
      <c r="DO18" s="97">
        <v>0</v>
      </c>
      <c r="DP18" s="92">
        <f t="shared" si="6"/>
        <v>95</v>
      </c>
      <c r="DQ18" s="97">
        <v>17</v>
      </c>
      <c r="DX18" s="104"/>
      <c r="DY18" s="104"/>
    </row>
    <row r="19" spans="1:129" s="37" customFormat="1">
      <c r="A19" s="24" t="s">
        <v>92</v>
      </c>
      <c r="B19" s="25">
        <v>13</v>
      </c>
      <c r="C19" s="3" t="s">
        <v>75</v>
      </c>
      <c r="D19" s="26">
        <v>1953</v>
      </c>
      <c r="E19" s="27"/>
      <c r="F19" s="27" t="s">
        <v>29</v>
      </c>
      <c r="G19" s="28">
        <v>1</v>
      </c>
      <c r="H19" s="27">
        <v>5</v>
      </c>
      <c r="I19" s="27" t="s">
        <v>96</v>
      </c>
      <c r="J19" s="29">
        <v>37057</v>
      </c>
      <c r="K19" s="29">
        <v>2179</v>
      </c>
      <c r="L19" s="29">
        <v>2834</v>
      </c>
      <c r="M19" s="29">
        <v>0</v>
      </c>
      <c r="N19" s="29">
        <f>105+1-1</f>
        <v>105</v>
      </c>
      <c r="O19" s="29">
        <f>264+3-3</f>
        <v>264</v>
      </c>
      <c r="P19" s="29">
        <v>108</v>
      </c>
      <c r="Q19" s="9">
        <v>246</v>
      </c>
      <c r="R19" s="38">
        <f>7370.8+76.24-76.24</f>
        <v>7370.8</v>
      </c>
      <c r="S19" s="32">
        <f>4572.07-50.59</f>
        <v>4521.4799999999996</v>
      </c>
      <c r="T19" s="9">
        <f t="shared" si="7"/>
        <v>100</v>
      </c>
      <c r="U19" s="30">
        <f t="shared" si="8"/>
        <v>7024.72</v>
      </c>
      <c r="V19" s="30">
        <f t="shared" si="9"/>
        <v>4309.6399999999994</v>
      </c>
      <c r="W19" s="10">
        <v>5</v>
      </c>
      <c r="X19" s="80">
        <v>346.08</v>
      </c>
      <c r="Y19" s="80">
        <v>211.84</v>
      </c>
      <c r="Z19" s="31"/>
      <c r="AA19" s="31"/>
      <c r="AB19" s="31"/>
      <c r="AC19" s="80">
        <f t="shared" si="10"/>
        <v>978.34</v>
      </c>
      <c r="AD19" s="87">
        <f t="shared" si="11"/>
        <v>809.14</v>
      </c>
      <c r="AE19" s="87"/>
      <c r="AF19" s="87">
        <f>809.1+0.04</f>
        <v>809.14</v>
      </c>
      <c r="AG19" s="87">
        <f>169.24-76.24+76.24-0.04</f>
        <v>169.20000000000002</v>
      </c>
      <c r="AH19" s="33"/>
      <c r="AI19" s="87">
        <f t="shared" si="30"/>
        <v>8349.14</v>
      </c>
      <c r="AJ19" s="29"/>
      <c r="AK19" s="29"/>
      <c r="AL19" s="29">
        <v>6</v>
      </c>
      <c r="AM19" s="29"/>
      <c r="AN19" s="29"/>
      <c r="AO19" s="29">
        <v>2</v>
      </c>
      <c r="AP19" s="29">
        <v>5555</v>
      </c>
      <c r="AQ19" s="29">
        <v>1500</v>
      </c>
      <c r="AR19" s="29">
        <v>450</v>
      </c>
      <c r="AS19" s="29">
        <v>483</v>
      </c>
      <c r="AT19" s="29">
        <v>180</v>
      </c>
      <c r="AU19" s="29">
        <f t="shared" si="31"/>
        <v>5921</v>
      </c>
      <c r="AV19" s="29"/>
      <c r="AW19" s="29">
        <f>5958-37</f>
        <v>5921</v>
      </c>
      <c r="AX19" s="29"/>
      <c r="AY19" s="29">
        <v>141</v>
      </c>
      <c r="AZ19" s="29">
        <v>2326</v>
      </c>
      <c r="BA19" s="29">
        <v>2326</v>
      </c>
      <c r="BB19" s="29">
        <v>30</v>
      </c>
      <c r="BC19" s="29">
        <v>12</v>
      </c>
      <c r="BD19" s="29">
        <f>380-4</f>
        <v>376</v>
      </c>
      <c r="BE19" s="29">
        <f>1022-1</f>
        <v>1021</v>
      </c>
      <c r="BF19" s="29"/>
      <c r="BG19" s="29">
        <f>7797-150</f>
        <v>7647</v>
      </c>
      <c r="BH19" s="29">
        <v>228</v>
      </c>
      <c r="BI19" s="29"/>
      <c r="BJ19" s="98">
        <f t="shared" si="13"/>
        <v>1</v>
      </c>
      <c r="BK19" s="98">
        <f t="shared" si="14"/>
        <v>7370.8</v>
      </c>
      <c r="BL19" s="98">
        <f t="shared" si="15"/>
        <v>4521.4799999999996</v>
      </c>
      <c r="BM19" s="98" t="str">
        <f t="shared" si="16"/>
        <v>0</v>
      </c>
      <c r="BN19" s="98" t="str">
        <f t="shared" si="17"/>
        <v>0</v>
      </c>
      <c r="BO19" s="98" t="str">
        <f t="shared" si="18"/>
        <v>0</v>
      </c>
      <c r="BP19" s="98" t="str">
        <f t="shared" si="19"/>
        <v>0</v>
      </c>
      <c r="BQ19" s="98" t="str">
        <f t="shared" si="20"/>
        <v>0</v>
      </c>
      <c r="BR19" s="98" t="str">
        <f t="shared" si="21"/>
        <v>0</v>
      </c>
      <c r="BS19" s="29"/>
      <c r="BT19" s="29">
        <v>4</v>
      </c>
      <c r="BU19" s="29">
        <f>BA19</f>
        <v>2326</v>
      </c>
      <c r="BV19" s="29">
        <v>6455</v>
      </c>
      <c r="BW19" s="29"/>
      <c r="BX19" s="29">
        <f>AP19</f>
        <v>5555</v>
      </c>
      <c r="BY19" s="82">
        <v>813.57</v>
      </c>
      <c r="BZ19" s="82">
        <v>767.27</v>
      </c>
      <c r="CA19" s="4">
        <v>6077</v>
      </c>
      <c r="CB19" s="4">
        <f t="shared" si="1"/>
        <v>3898</v>
      </c>
      <c r="CC19" s="34" t="str">
        <f t="shared" si="2"/>
        <v>0</v>
      </c>
      <c r="CD19" s="35">
        <f t="shared" si="3"/>
        <v>0</v>
      </c>
      <c r="CE19" s="34">
        <f t="shared" si="4"/>
        <v>1</v>
      </c>
      <c r="CF19" s="35">
        <f t="shared" si="5"/>
        <v>5921</v>
      </c>
      <c r="CG19" s="35">
        <f t="shared" si="22"/>
        <v>1</v>
      </c>
      <c r="CH19" s="35">
        <f t="shared" si="23"/>
        <v>5921</v>
      </c>
      <c r="CI19" s="36">
        <v>47</v>
      </c>
      <c r="CJ19" s="217" t="str">
        <f t="shared" si="24"/>
        <v>0</v>
      </c>
      <c r="CK19" s="217" t="str">
        <f t="shared" si="25"/>
        <v>0</v>
      </c>
      <c r="CL19" s="218">
        <f t="shared" si="26"/>
        <v>4.6952840939925107</v>
      </c>
      <c r="CM19" s="219" t="str">
        <f t="shared" si="27"/>
        <v>0</v>
      </c>
      <c r="CN19" s="219" t="str">
        <f t="shared" si="28"/>
        <v>0</v>
      </c>
      <c r="CO19" s="218">
        <f t="shared" si="29"/>
        <v>13.836395125725526</v>
      </c>
      <c r="CP19" s="97">
        <v>1</v>
      </c>
      <c r="CQ19" s="97">
        <v>0</v>
      </c>
      <c r="CR19" s="97">
        <v>0</v>
      </c>
      <c r="CS19" s="97">
        <v>0</v>
      </c>
      <c r="CT19" s="97">
        <v>3</v>
      </c>
      <c r="CU19" s="97">
        <v>0</v>
      </c>
      <c r="CV19" s="97">
        <v>0</v>
      </c>
      <c r="CW19" s="97">
        <v>0</v>
      </c>
      <c r="CX19" s="97">
        <v>0</v>
      </c>
      <c r="CY19" s="94">
        <v>106</v>
      </c>
      <c r="CZ19" s="95">
        <v>100</v>
      </c>
      <c r="DA19" s="94">
        <v>6</v>
      </c>
      <c r="DB19" s="97">
        <v>90</v>
      </c>
      <c r="DC19" s="97">
        <v>38</v>
      </c>
      <c r="DD19" s="221">
        <v>156</v>
      </c>
      <c r="DE19" s="97">
        <v>40</v>
      </c>
      <c r="DF19" s="97">
        <v>38</v>
      </c>
      <c r="DG19" s="221">
        <v>156</v>
      </c>
      <c r="DH19" s="97">
        <v>45</v>
      </c>
      <c r="DI19" s="97">
        <v>3</v>
      </c>
      <c r="DJ19" s="97">
        <v>2</v>
      </c>
      <c r="DK19" s="94">
        <v>2</v>
      </c>
      <c r="DL19" s="97">
        <v>2</v>
      </c>
      <c r="DM19" s="97">
        <v>2</v>
      </c>
      <c r="DN19" s="94">
        <v>2</v>
      </c>
      <c r="DO19" s="97">
        <v>2</v>
      </c>
      <c r="DP19" s="92">
        <f t="shared" si="6"/>
        <v>106</v>
      </c>
      <c r="DQ19" s="97">
        <v>33</v>
      </c>
      <c r="DX19" s="104"/>
      <c r="DY19" s="104"/>
    </row>
    <row r="20" spans="1:129">
      <c r="A20" s="24" t="s">
        <v>92</v>
      </c>
      <c r="B20" s="25">
        <v>14</v>
      </c>
      <c r="C20" s="3" t="s">
        <v>76</v>
      </c>
      <c r="D20" s="26">
        <v>1988</v>
      </c>
      <c r="E20" s="27"/>
      <c r="F20" s="27" t="s">
        <v>28</v>
      </c>
      <c r="G20" s="28">
        <v>1</v>
      </c>
      <c r="H20" s="27">
        <v>9</v>
      </c>
      <c r="I20" s="27" t="s">
        <v>95</v>
      </c>
      <c r="J20" s="29">
        <v>29351</v>
      </c>
      <c r="K20" s="29">
        <v>1196</v>
      </c>
      <c r="L20" s="29"/>
      <c r="M20" s="29">
        <v>1172</v>
      </c>
      <c r="N20" s="29">
        <v>101</v>
      </c>
      <c r="O20" s="29">
        <v>277</v>
      </c>
      <c r="P20" s="29">
        <v>102</v>
      </c>
      <c r="Q20" s="9">
        <v>216</v>
      </c>
      <c r="R20" s="38">
        <v>6552.2</v>
      </c>
      <c r="S20" s="32">
        <v>4090.7</v>
      </c>
      <c r="T20" s="9">
        <f t="shared" si="7"/>
        <v>97</v>
      </c>
      <c r="U20" s="30">
        <f t="shared" si="8"/>
        <v>6304.5</v>
      </c>
      <c r="V20" s="30">
        <f t="shared" si="9"/>
        <v>3940.7</v>
      </c>
      <c r="W20" s="10">
        <v>4</v>
      </c>
      <c r="X20" s="80">
        <v>247.7</v>
      </c>
      <c r="Y20" s="80">
        <v>150</v>
      </c>
      <c r="Z20" s="31"/>
      <c r="AA20" s="31"/>
      <c r="AB20" s="31"/>
      <c r="AC20" s="80">
        <f t="shared" si="10"/>
        <v>119.4</v>
      </c>
      <c r="AD20" s="38">
        <f t="shared" si="11"/>
        <v>119.4</v>
      </c>
      <c r="AE20" s="87"/>
      <c r="AF20" s="38">
        <f>100.4+19</f>
        <v>119.4</v>
      </c>
      <c r="AG20" s="87"/>
      <c r="AH20" s="33"/>
      <c r="AI20" s="87">
        <f t="shared" si="30"/>
        <v>6671.5999999999995</v>
      </c>
      <c r="AJ20" s="29"/>
      <c r="AK20" s="29">
        <v>3</v>
      </c>
      <c r="AL20" s="29">
        <v>3</v>
      </c>
      <c r="AM20" s="29">
        <v>3</v>
      </c>
      <c r="AN20" s="29"/>
      <c r="AO20" s="29">
        <v>3</v>
      </c>
      <c r="AP20" s="29">
        <v>5400</v>
      </c>
      <c r="AQ20" s="29"/>
      <c r="AR20" s="29">
        <v>360</v>
      </c>
      <c r="AS20" s="29">
        <v>396</v>
      </c>
      <c r="AT20" s="29">
        <v>429</v>
      </c>
      <c r="AU20" s="29">
        <f t="shared" si="31"/>
        <v>10869</v>
      </c>
      <c r="AV20" s="29"/>
      <c r="AW20" s="29">
        <v>10869</v>
      </c>
      <c r="AX20" s="29">
        <v>2970</v>
      </c>
      <c r="AY20" s="29">
        <v>182</v>
      </c>
      <c r="AZ20" s="29">
        <v>1071</v>
      </c>
      <c r="BA20" s="29">
        <v>1071</v>
      </c>
      <c r="BB20" s="29">
        <v>51</v>
      </c>
      <c r="BC20" s="29">
        <v>6</v>
      </c>
      <c r="BD20" s="29">
        <v>384</v>
      </c>
      <c r="BE20" s="29">
        <v>996</v>
      </c>
      <c r="BF20" s="29"/>
      <c r="BG20" s="29">
        <v>11400</v>
      </c>
      <c r="BH20" s="29">
        <v>4905</v>
      </c>
      <c r="BI20" s="29">
        <v>135</v>
      </c>
      <c r="BJ20" s="98" t="str">
        <f t="shared" si="13"/>
        <v>0</v>
      </c>
      <c r="BK20" s="98" t="str">
        <f t="shared" si="14"/>
        <v>0</v>
      </c>
      <c r="BL20" s="98" t="str">
        <f t="shared" si="15"/>
        <v>0</v>
      </c>
      <c r="BM20" s="98">
        <f t="shared" si="16"/>
        <v>1</v>
      </c>
      <c r="BN20" s="98">
        <f t="shared" si="17"/>
        <v>6552.2</v>
      </c>
      <c r="BO20" s="98">
        <f t="shared" si="18"/>
        <v>4090.7</v>
      </c>
      <c r="BP20" s="98" t="str">
        <f t="shared" si="19"/>
        <v>0</v>
      </c>
      <c r="BQ20" s="98" t="str">
        <f t="shared" si="20"/>
        <v>0</v>
      </c>
      <c r="BR20" s="98" t="str">
        <f t="shared" si="21"/>
        <v>0</v>
      </c>
      <c r="BS20" s="29"/>
      <c r="BT20" s="29">
        <v>2</v>
      </c>
      <c r="BU20" s="29"/>
      <c r="BV20" s="29"/>
      <c r="BW20" s="29"/>
      <c r="BX20" s="29"/>
      <c r="BY20" s="82">
        <v>2245.6999999999998</v>
      </c>
      <c r="BZ20" s="82">
        <v>1172.3</v>
      </c>
      <c r="CA20" s="4">
        <v>2447</v>
      </c>
      <c r="CB20" s="4">
        <f t="shared" si="1"/>
        <v>1251</v>
      </c>
      <c r="CC20" s="34" t="str">
        <f t="shared" si="2"/>
        <v>0</v>
      </c>
      <c r="CD20" s="35">
        <f t="shared" si="3"/>
        <v>0</v>
      </c>
      <c r="CE20" s="34">
        <f t="shared" si="4"/>
        <v>1</v>
      </c>
      <c r="CF20" s="35">
        <f t="shared" si="5"/>
        <v>10869</v>
      </c>
      <c r="CG20" s="35">
        <f t="shared" si="22"/>
        <v>1</v>
      </c>
      <c r="CH20" s="35">
        <f t="shared" si="23"/>
        <v>10869</v>
      </c>
      <c r="CI20" s="22">
        <v>30</v>
      </c>
      <c r="CJ20" s="217" t="str">
        <f t="shared" si="24"/>
        <v>0</v>
      </c>
      <c r="CK20" s="217" t="str">
        <f t="shared" si="25"/>
        <v>0</v>
      </c>
      <c r="CL20" s="218">
        <f t="shared" si="26"/>
        <v>3.7804096334055739</v>
      </c>
      <c r="CM20" s="219" t="str">
        <f t="shared" si="27"/>
        <v>0</v>
      </c>
      <c r="CN20" s="219" t="str">
        <f t="shared" si="28"/>
        <v>0</v>
      </c>
      <c r="CO20" s="218">
        <f t="shared" si="29"/>
        <v>5.5024282031296847</v>
      </c>
      <c r="CP20" s="97">
        <v>1</v>
      </c>
      <c r="CQ20" s="97">
        <v>0</v>
      </c>
      <c r="CR20" s="97">
        <v>0</v>
      </c>
      <c r="CS20" s="97">
        <v>0</v>
      </c>
      <c r="CT20" s="97">
        <v>2</v>
      </c>
      <c r="CU20" s="97">
        <v>0</v>
      </c>
      <c r="CV20" s="97">
        <v>0</v>
      </c>
      <c r="CW20" s="97">
        <v>0</v>
      </c>
      <c r="CX20" s="97">
        <v>0</v>
      </c>
      <c r="CY20" s="94">
        <v>101</v>
      </c>
      <c r="CZ20" s="95">
        <v>99</v>
      </c>
      <c r="DA20" s="94">
        <v>2</v>
      </c>
      <c r="DB20" s="97">
        <v>94</v>
      </c>
      <c r="DC20" s="97">
        <v>68</v>
      </c>
      <c r="DD20" s="221">
        <v>169</v>
      </c>
      <c r="DE20" s="97">
        <v>92</v>
      </c>
      <c r="DF20" s="97">
        <v>68</v>
      </c>
      <c r="DG20" s="221">
        <v>169</v>
      </c>
      <c r="DH20" s="97">
        <v>92</v>
      </c>
      <c r="DI20" s="97">
        <v>2</v>
      </c>
      <c r="DJ20" s="97">
        <v>1</v>
      </c>
      <c r="DK20" s="94">
        <v>2</v>
      </c>
      <c r="DL20" s="97">
        <v>1</v>
      </c>
      <c r="DM20" s="97">
        <v>1</v>
      </c>
      <c r="DN20" s="94">
        <v>2</v>
      </c>
      <c r="DO20" s="97">
        <v>1</v>
      </c>
      <c r="DP20" s="92">
        <f t="shared" si="6"/>
        <v>101</v>
      </c>
      <c r="DQ20" s="97">
        <v>101</v>
      </c>
      <c r="DX20" s="105"/>
      <c r="DY20" s="104"/>
    </row>
    <row r="21" spans="1:129">
      <c r="A21" s="24" t="s">
        <v>92</v>
      </c>
      <c r="B21" s="25">
        <v>15</v>
      </c>
      <c r="C21" s="3" t="s">
        <v>110</v>
      </c>
      <c r="D21" s="26">
        <v>1983</v>
      </c>
      <c r="E21" s="27"/>
      <c r="F21" s="27" t="s">
        <v>28</v>
      </c>
      <c r="G21" s="28">
        <v>1</v>
      </c>
      <c r="H21" s="27">
        <v>9</v>
      </c>
      <c r="I21" s="27" t="s">
        <v>95</v>
      </c>
      <c r="J21" s="29">
        <f>20281+19963+19980</f>
        <v>60224</v>
      </c>
      <c r="K21" s="29">
        <f>784+783+787</f>
        <v>2354</v>
      </c>
      <c r="L21" s="29"/>
      <c r="M21" s="29">
        <f>738+725+751</f>
        <v>2214</v>
      </c>
      <c r="N21" s="29">
        <v>210</v>
      </c>
      <c r="O21" s="29">
        <v>588</v>
      </c>
      <c r="P21" s="29">
        <v>214</v>
      </c>
      <c r="Q21" s="9">
        <v>513</v>
      </c>
      <c r="R21" s="38">
        <v>13647</v>
      </c>
      <c r="S21" s="32">
        <v>8656.6</v>
      </c>
      <c r="T21" s="9">
        <f t="shared" si="7"/>
        <v>191</v>
      </c>
      <c r="U21" s="39">
        <f t="shared" si="8"/>
        <v>12421.3</v>
      </c>
      <c r="V21" s="39">
        <f t="shared" si="9"/>
        <v>7873.5</v>
      </c>
      <c r="W21" s="10">
        <v>19</v>
      </c>
      <c r="X21" s="80">
        <v>1225.7</v>
      </c>
      <c r="Y21" s="80">
        <v>783.1</v>
      </c>
      <c r="Z21" s="31"/>
      <c r="AA21" s="31"/>
      <c r="AB21" s="31"/>
      <c r="AC21" s="80">
        <f t="shared" si="10"/>
        <v>0</v>
      </c>
      <c r="AD21" s="38">
        <f t="shared" si="11"/>
        <v>0</v>
      </c>
      <c r="AE21" s="87"/>
      <c r="AF21" s="38">
        <v>0</v>
      </c>
      <c r="AG21" s="87"/>
      <c r="AH21" s="33"/>
      <c r="AI21" s="87">
        <f t="shared" si="30"/>
        <v>13647</v>
      </c>
      <c r="AJ21" s="29"/>
      <c r="AK21" s="29">
        <f>2+2+2</f>
        <v>6</v>
      </c>
      <c r="AL21" s="29">
        <f t="shared" ref="AL21:AM21" si="32">2+2+2</f>
        <v>6</v>
      </c>
      <c r="AM21" s="29">
        <f t="shared" si="32"/>
        <v>6</v>
      </c>
      <c r="AN21" s="29"/>
      <c r="AO21" s="29">
        <f>2+2+2</f>
        <v>6</v>
      </c>
      <c r="AP21" s="29">
        <f>3930+3930+3930</f>
        <v>11790</v>
      </c>
      <c r="AQ21" s="29">
        <f>0+583+0</f>
        <v>583</v>
      </c>
      <c r="AR21" s="29">
        <f>0+945+0</f>
        <v>945</v>
      </c>
      <c r="AS21" s="29">
        <f>200+197+262</f>
        <v>659</v>
      </c>
      <c r="AT21" s="29">
        <f>286+286+286</f>
        <v>858</v>
      </c>
      <c r="AU21" s="29">
        <f t="shared" si="31"/>
        <v>21738</v>
      </c>
      <c r="AV21" s="29">
        <f>7246+7246+7246</f>
        <v>21738</v>
      </c>
      <c r="AW21" s="29"/>
      <c r="AX21" s="29">
        <f>2140+2140+2140</f>
        <v>6420</v>
      </c>
      <c r="AY21" s="29">
        <f>165+132+171</f>
        <v>468</v>
      </c>
      <c r="AZ21" s="29">
        <f>738+725+729</f>
        <v>2192</v>
      </c>
      <c r="BA21" s="29">
        <f>738+725+729</f>
        <v>2192</v>
      </c>
      <c r="BB21" s="29">
        <f>34+34+34</f>
        <v>102</v>
      </c>
      <c r="BC21" s="29">
        <f>4+4+4</f>
        <v>12</v>
      </c>
      <c r="BD21" s="29">
        <f>266+266+266</f>
        <v>798</v>
      </c>
      <c r="BE21" s="29">
        <f>686+686+686</f>
        <v>2058</v>
      </c>
      <c r="BF21" s="29"/>
      <c r="BG21" s="29">
        <f>7600+7600+7600</f>
        <v>22800</v>
      </c>
      <c r="BH21" s="29">
        <f>3270+3270+3270</f>
        <v>9810</v>
      </c>
      <c r="BI21" s="29">
        <f>90+90+90</f>
        <v>270</v>
      </c>
      <c r="BJ21" s="98" t="str">
        <f t="shared" si="13"/>
        <v>0</v>
      </c>
      <c r="BK21" s="98" t="str">
        <f t="shared" si="14"/>
        <v>0</v>
      </c>
      <c r="BL21" s="98" t="str">
        <f t="shared" si="15"/>
        <v>0</v>
      </c>
      <c r="BM21" s="98">
        <f t="shared" si="16"/>
        <v>1</v>
      </c>
      <c r="BN21" s="98">
        <f t="shared" si="17"/>
        <v>13647</v>
      </c>
      <c r="BO21" s="98">
        <f t="shared" si="18"/>
        <v>8656.6</v>
      </c>
      <c r="BP21" s="98" t="str">
        <f t="shared" si="19"/>
        <v>0</v>
      </c>
      <c r="BQ21" s="98" t="str">
        <f t="shared" si="20"/>
        <v>0</v>
      </c>
      <c r="BR21" s="98" t="str">
        <f t="shared" si="21"/>
        <v>0</v>
      </c>
      <c r="BS21" s="29"/>
      <c r="BT21" s="29">
        <v>2</v>
      </c>
      <c r="BU21" s="29"/>
      <c r="BV21" s="29"/>
      <c r="BW21" s="29"/>
      <c r="BX21" s="29"/>
      <c r="BY21" s="82">
        <v>2570.3000000000002</v>
      </c>
      <c r="BZ21" s="82">
        <v>2323.5</v>
      </c>
      <c r="CA21" s="4">
        <f>1890+1585+1628</f>
        <v>5103</v>
      </c>
      <c r="CB21" s="4">
        <f t="shared" si="1"/>
        <v>2749</v>
      </c>
      <c r="CC21" s="34">
        <f t="shared" si="2"/>
        <v>1</v>
      </c>
      <c r="CD21" s="35">
        <f t="shared" si="3"/>
        <v>21738</v>
      </c>
      <c r="CE21" s="34" t="str">
        <f t="shared" si="4"/>
        <v>0</v>
      </c>
      <c r="CF21" s="35">
        <f t="shared" si="5"/>
        <v>0</v>
      </c>
      <c r="CG21" s="35">
        <f t="shared" si="22"/>
        <v>1</v>
      </c>
      <c r="CH21" s="35">
        <f t="shared" si="23"/>
        <v>21738</v>
      </c>
      <c r="CI21" s="22">
        <v>27</v>
      </c>
      <c r="CJ21" s="217" t="str">
        <f t="shared" si="24"/>
        <v>0</v>
      </c>
      <c r="CK21" s="217" t="str">
        <f t="shared" si="25"/>
        <v>0</v>
      </c>
      <c r="CL21" s="218">
        <f t="shared" si="26"/>
        <v>8.9814611269876163</v>
      </c>
      <c r="CM21" s="219" t="str">
        <f t="shared" si="27"/>
        <v>0</v>
      </c>
      <c r="CN21" s="219" t="str">
        <f t="shared" si="28"/>
        <v>0</v>
      </c>
      <c r="CO21" s="218">
        <f t="shared" si="29"/>
        <v>8.9814611269876163</v>
      </c>
      <c r="CP21" s="97">
        <v>1</v>
      </c>
      <c r="CQ21" s="97">
        <v>0</v>
      </c>
      <c r="CR21" s="97">
        <v>0</v>
      </c>
      <c r="CS21" s="97">
        <v>0</v>
      </c>
      <c r="CT21" s="97">
        <v>6</v>
      </c>
      <c r="CU21" s="97">
        <v>0</v>
      </c>
      <c r="CV21" s="97">
        <v>0</v>
      </c>
      <c r="CW21" s="97">
        <v>0</v>
      </c>
      <c r="CX21" s="97">
        <v>0</v>
      </c>
      <c r="CY21" s="94">
        <v>210</v>
      </c>
      <c r="CZ21" s="95">
        <v>199</v>
      </c>
      <c r="DA21" s="94">
        <v>11</v>
      </c>
      <c r="DB21" s="97">
        <v>198</v>
      </c>
      <c r="DC21" s="97">
        <v>153</v>
      </c>
      <c r="DD21" s="221">
        <v>363</v>
      </c>
      <c r="DE21" s="97">
        <v>168</v>
      </c>
      <c r="DF21" s="97">
        <v>153</v>
      </c>
      <c r="DG21" s="221">
        <v>363</v>
      </c>
      <c r="DH21" s="97">
        <v>168</v>
      </c>
      <c r="DI21" s="97">
        <v>6</v>
      </c>
      <c r="DJ21" s="97">
        <v>4</v>
      </c>
      <c r="DK21" s="94">
        <v>11</v>
      </c>
      <c r="DL21" s="97">
        <v>5</v>
      </c>
      <c r="DM21" s="97">
        <v>4</v>
      </c>
      <c r="DN21" s="94">
        <v>11</v>
      </c>
      <c r="DO21" s="97">
        <v>5</v>
      </c>
      <c r="DP21" s="92">
        <f t="shared" si="6"/>
        <v>210</v>
      </c>
      <c r="DQ21" s="97">
        <v>210</v>
      </c>
      <c r="DX21" s="105"/>
      <c r="DY21" s="104"/>
    </row>
    <row r="22" spans="1:129">
      <c r="A22" s="24" t="s">
        <v>92</v>
      </c>
      <c r="B22" s="25">
        <v>16</v>
      </c>
      <c r="C22" s="3" t="s">
        <v>77</v>
      </c>
      <c r="D22" s="26">
        <v>1954</v>
      </c>
      <c r="E22" s="27"/>
      <c r="F22" s="27" t="s">
        <v>29</v>
      </c>
      <c r="G22" s="28">
        <v>1</v>
      </c>
      <c r="H22" s="27">
        <v>5</v>
      </c>
      <c r="I22" s="27" t="s">
        <v>96</v>
      </c>
      <c r="J22" s="29">
        <v>44928</v>
      </c>
      <c r="K22" s="29">
        <v>2348</v>
      </c>
      <c r="L22" s="29">
        <v>2814</v>
      </c>
      <c r="M22" s="29">
        <v>0</v>
      </c>
      <c r="N22" s="29">
        <f>101+1+1</f>
        <v>103</v>
      </c>
      <c r="O22" s="29">
        <f>256+3+3</f>
        <v>262</v>
      </c>
      <c r="P22" s="29">
        <v>113</v>
      </c>
      <c r="Q22" s="9">
        <v>223</v>
      </c>
      <c r="R22" s="38">
        <f>7027.81+73.3+79.1</f>
        <v>7180.2100000000009</v>
      </c>
      <c r="S22" s="32">
        <f>4286.82+48.38+50.36</f>
        <v>4385.5599999999995</v>
      </c>
      <c r="T22" s="9">
        <f t="shared" si="7"/>
        <v>95</v>
      </c>
      <c r="U22" s="30">
        <f t="shared" si="8"/>
        <v>6672.6500000000005</v>
      </c>
      <c r="V22" s="30">
        <f t="shared" si="9"/>
        <v>4096.9399999999996</v>
      </c>
      <c r="W22" s="10">
        <v>8</v>
      </c>
      <c r="X22" s="80">
        <v>507.56</v>
      </c>
      <c r="Y22" s="80">
        <v>288.62</v>
      </c>
      <c r="Z22" s="31"/>
      <c r="AA22" s="31"/>
      <c r="AB22" s="31"/>
      <c r="AC22" s="80">
        <f t="shared" si="10"/>
        <v>2827.1000000000004</v>
      </c>
      <c r="AD22" s="38">
        <f t="shared" si="11"/>
        <v>1684.3300000000002</v>
      </c>
      <c r="AE22" s="87"/>
      <c r="AF22" s="38">
        <f>2432.75-496.55-255.2+3.4-0.07</f>
        <v>1684.3300000000002</v>
      </c>
      <c r="AG22" s="87">
        <f>336.87+496.55-242.1+255.2-73.3-79.1+2.1</f>
        <v>696.22</v>
      </c>
      <c r="AH22" s="33">
        <f>242.1+203.25+1.2</f>
        <v>446.55</v>
      </c>
      <c r="AI22" s="87">
        <f t="shared" si="30"/>
        <v>10007.310000000001</v>
      </c>
      <c r="AJ22" s="29"/>
      <c r="AK22" s="29"/>
      <c r="AL22" s="29">
        <v>6</v>
      </c>
      <c r="AM22" s="29"/>
      <c r="AN22" s="29"/>
      <c r="AO22" s="29">
        <v>2</v>
      </c>
      <c r="AP22" s="29">
        <v>5540</v>
      </c>
      <c r="AQ22" s="29">
        <v>585</v>
      </c>
      <c r="AR22" s="29">
        <v>550</v>
      </c>
      <c r="AS22" s="29">
        <v>321</v>
      </c>
      <c r="AT22" s="29">
        <v>180</v>
      </c>
      <c r="AU22" s="29">
        <f t="shared" si="31"/>
        <v>5958</v>
      </c>
      <c r="AV22" s="29"/>
      <c r="AW22" s="29">
        <v>5958</v>
      </c>
      <c r="AX22" s="29"/>
      <c r="AY22" s="29">
        <v>137</v>
      </c>
      <c r="AZ22" s="29">
        <v>2400</v>
      </c>
      <c r="BA22" s="29">
        <v>2400</v>
      </c>
      <c r="BB22" s="29">
        <v>30</v>
      </c>
      <c r="BC22" s="29">
        <v>12</v>
      </c>
      <c r="BD22" s="29">
        <v>396</v>
      </c>
      <c r="BE22" s="29">
        <v>1002</v>
      </c>
      <c r="BF22" s="29"/>
      <c r="BG22" s="29">
        <v>6333</v>
      </c>
      <c r="BH22" s="29">
        <v>228</v>
      </c>
      <c r="BI22" s="29"/>
      <c r="BJ22" s="98">
        <f t="shared" si="13"/>
        <v>1</v>
      </c>
      <c r="BK22" s="98">
        <f t="shared" si="14"/>
        <v>7180.2100000000009</v>
      </c>
      <c r="BL22" s="98">
        <f t="shared" si="15"/>
        <v>4385.5599999999995</v>
      </c>
      <c r="BM22" s="98" t="str">
        <f t="shared" si="16"/>
        <v>0</v>
      </c>
      <c r="BN22" s="98" t="str">
        <f t="shared" si="17"/>
        <v>0</v>
      </c>
      <c r="BO22" s="98" t="str">
        <f t="shared" si="18"/>
        <v>0</v>
      </c>
      <c r="BP22" s="98" t="str">
        <f t="shared" si="19"/>
        <v>0</v>
      </c>
      <c r="BQ22" s="98" t="str">
        <f t="shared" si="20"/>
        <v>0</v>
      </c>
      <c r="BR22" s="98" t="str">
        <f t="shared" si="21"/>
        <v>0</v>
      </c>
      <c r="BS22" s="29"/>
      <c r="BT22" s="29">
        <v>4</v>
      </c>
      <c r="BU22" s="29">
        <f>BA22</f>
        <v>2400</v>
      </c>
      <c r="BV22" s="29">
        <v>6455</v>
      </c>
      <c r="BW22" s="29"/>
      <c r="BX22" s="29">
        <f>AP22</f>
        <v>5540</v>
      </c>
      <c r="BY22" s="82">
        <v>858.12</v>
      </c>
      <c r="BZ22" s="82">
        <v>805.2</v>
      </c>
      <c r="CA22" s="4">
        <v>6185</v>
      </c>
      <c r="CB22" s="4">
        <f t="shared" si="1"/>
        <v>3837</v>
      </c>
      <c r="CC22" s="34" t="str">
        <f t="shared" si="2"/>
        <v>0</v>
      </c>
      <c r="CD22" s="35">
        <f t="shared" si="3"/>
        <v>0</v>
      </c>
      <c r="CE22" s="34">
        <f t="shared" si="4"/>
        <v>1</v>
      </c>
      <c r="CF22" s="35">
        <f t="shared" si="5"/>
        <v>5958</v>
      </c>
      <c r="CG22" s="35">
        <f t="shared" si="22"/>
        <v>1</v>
      </c>
      <c r="CH22" s="35">
        <f t="shared" si="23"/>
        <v>5958</v>
      </c>
      <c r="CI22" s="22">
        <v>51</v>
      </c>
      <c r="CJ22" s="217" t="str">
        <f t="shared" si="24"/>
        <v>0</v>
      </c>
      <c r="CK22" s="217" t="str">
        <f t="shared" si="25"/>
        <v>0</v>
      </c>
      <c r="CL22" s="218">
        <f t="shared" si="26"/>
        <v>7.0688740301467501</v>
      </c>
      <c r="CM22" s="219" t="str">
        <f t="shared" si="27"/>
        <v>0</v>
      </c>
      <c r="CN22" s="219" t="str">
        <f t="shared" si="28"/>
        <v>0</v>
      </c>
      <c r="CO22" s="218">
        <f t="shared" si="29"/>
        <v>21.902888988149662</v>
      </c>
      <c r="CP22" s="97">
        <v>1</v>
      </c>
      <c r="CQ22" s="97">
        <v>0</v>
      </c>
      <c r="CR22" s="97">
        <v>0</v>
      </c>
      <c r="CS22" s="97">
        <v>0</v>
      </c>
      <c r="CT22" s="97">
        <v>3</v>
      </c>
      <c r="CU22" s="97">
        <v>0</v>
      </c>
      <c r="CV22" s="97">
        <v>0</v>
      </c>
      <c r="CW22" s="97">
        <v>0</v>
      </c>
      <c r="CX22" s="97">
        <v>0</v>
      </c>
      <c r="CY22" s="94">
        <v>101</v>
      </c>
      <c r="CZ22" s="95">
        <v>94</v>
      </c>
      <c r="DA22" s="94">
        <v>7</v>
      </c>
      <c r="DB22" s="97">
        <v>91</v>
      </c>
      <c r="DC22" s="97">
        <v>29</v>
      </c>
      <c r="DD22" s="221">
        <v>163</v>
      </c>
      <c r="DE22" s="97">
        <v>30</v>
      </c>
      <c r="DF22" s="97">
        <v>29</v>
      </c>
      <c r="DG22" s="221">
        <v>163</v>
      </c>
      <c r="DH22" s="97">
        <v>30</v>
      </c>
      <c r="DI22" s="97">
        <v>4</v>
      </c>
      <c r="DJ22" s="97">
        <v>1</v>
      </c>
      <c r="DK22" s="94">
        <v>2</v>
      </c>
      <c r="DL22" s="97">
        <v>1</v>
      </c>
      <c r="DM22" s="97">
        <v>1</v>
      </c>
      <c r="DN22" s="94">
        <v>2</v>
      </c>
      <c r="DO22" s="97">
        <v>1</v>
      </c>
      <c r="DP22" s="92">
        <f t="shared" si="6"/>
        <v>101</v>
      </c>
      <c r="DQ22" s="97">
        <v>24</v>
      </c>
      <c r="DX22" s="105"/>
      <c r="DY22" s="104"/>
    </row>
    <row r="23" spans="1:129">
      <c r="A23" s="24" t="s">
        <v>92</v>
      </c>
      <c r="B23" s="25">
        <v>17</v>
      </c>
      <c r="C23" s="3" t="s">
        <v>78</v>
      </c>
      <c r="D23" s="26">
        <v>1983</v>
      </c>
      <c r="E23" s="27"/>
      <c r="F23" s="27" t="s">
        <v>28</v>
      </c>
      <c r="G23" s="28">
        <v>1</v>
      </c>
      <c r="H23" s="27">
        <v>9</v>
      </c>
      <c r="I23" s="27" t="s">
        <v>95</v>
      </c>
      <c r="J23" s="29">
        <v>29977</v>
      </c>
      <c r="K23" s="29">
        <v>1181</v>
      </c>
      <c r="L23" s="29"/>
      <c r="M23" s="29">
        <v>1081</v>
      </c>
      <c r="N23" s="29">
        <v>105</v>
      </c>
      <c r="O23" s="29">
        <v>285</v>
      </c>
      <c r="P23" s="29">
        <v>106</v>
      </c>
      <c r="Q23" s="9">
        <v>210</v>
      </c>
      <c r="R23" s="38">
        <v>6797.1</v>
      </c>
      <c r="S23" s="32">
        <v>4225</v>
      </c>
      <c r="T23" s="9">
        <f t="shared" si="7"/>
        <v>98</v>
      </c>
      <c r="U23" s="30">
        <f t="shared" si="8"/>
        <v>6353.5</v>
      </c>
      <c r="V23" s="30">
        <f t="shared" si="9"/>
        <v>3944.2</v>
      </c>
      <c r="W23" s="10">
        <v>7</v>
      </c>
      <c r="X23" s="80">
        <v>443.6</v>
      </c>
      <c r="Y23" s="80">
        <v>280.8</v>
      </c>
      <c r="Z23" s="31"/>
      <c r="AA23" s="31"/>
      <c r="AB23" s="31"/>
      <c r="AC23" s="80">
        <f t="shared" si="10"/>
        <v>0</v>
      </c>
      <c r="AD23" s="38">
        <f t="shared" si="11"/>
        <v>0</v>
      </c>
      <c r="AE23" s="87"/>
      <c r="AF23" s="38">
        <v>0</v>
      </c>
      <c r="AG23" s="87"/>
      <c r="AH23" s="33"/>
      <c r="AI23" s="87">
        <f t="shared" si="30"/>
        <v>6797.1</v>
      </c>
      <c r="AJ23" s="29"/>
      <c r="AK23" s="29">
        <v>3</v>
      </c>
      <c r="AL23" s="29">
        <v>3</v>
      </c>
      <c r="AM23" s="29">
        <v>3</v>
      </c>
      <c r="AN23" s="29"/>
      <c r="AO23" s="29">
        <v>3</v>
      </c>
      <c r="AP23" s="29">
        <v>5400</v>
      </c>
      <c r="AQ23" s="29">
        <v>583</v>
      </c>
      <c r="AR23" s="29">
        <v>276</v>
      </c>
      <c r="AS23" s="29">
        <v>360</v>
      </c>
      <c r="AT23" s="29">
        <v>429</v>
      </c>
      <c r="AU23" s="29">
        <f t="shared" si="31"/>
        <v>10869</v>
      </c>
      <c r="AV23" s="29">
        <v>3623</v>
      </c>
      <c r="AW23" s="29">
        <v>7246</v>
      </c>
      <c r="AX23" s="29">
        <v>2970</v>
      </c>
      <c r="AY23" s="29">
        <v>260</v>
      </c>
      <c r="AZ23" s="29">
        <v>1085</v>
      </c>
      <c r="BA23" s="29">
        <v>1085</v>
      </c>
      <c r="BB23" s="29">
        <v>51</v>
      </c>
      <c r="BC23" s="29">
        <v>6</v>
      </c>
      <c r="BD23" s="29">
        <v>381</v>
      </c>
      <c r="BE23" s="29">
        <v>1011</v>
      </c>
      <c r="BF23" s="29"/>
      <c r="BG23" s="29">
        <v>11400</v>
      </c>
      <c r="BH23" s="29">
        <v>4905</v>
      </c>
      <c r="BI23" s="29">
        <v>135</v>
      </c>
      <c r="BJ23" s="98" t="str">
        <f t="shared" si="13"/>
        <v>0</v>
      </c>
      <c r="BK23" s="98" t="str">
        <f t="shared" si="14"/>
        <v>0</v>
      </c>
      <c r="BL23" s="98" t="str">
        <f t="shared" si="15"/>
        <v>0</v>
      </c>
      <c r="BM23" s="98">
        <f t="shared" si="16"/>
        <v>1</v>
      </c>
      <c r="BN23" s="98">
        <f t="shared" si="17"/>
        <v>6797.1</v>
      </c>
      <c r="BO23" s="98">
        <f t="shared" si="18"/>
        <v>4225</v>
      </c>
      <c r="BP23" s="98" t="str">
        <f t="shared" si="19"/>
        <v>0</v>
      </c>
      <c r="BQ23" s="98" t="str">
        <f t="shared" si="20"/>
        <v>0</v>
      </c>
      <c r="BR23" s="98" t="str">
        <f t="shared" si="21"/>
        <v>0</v>
      </c>
      <c r="BS23" s="29"/>
      <c r="BT23" s="29">
        <v>2</v>
      </c>
      <c r="BU23" s="29"/>
      <c r="BV23" s="29"/>
      <c r="BW23" s="29"/>
      <c r="BX23" s="29"/>
      <c r="BY23" s="82">
        <v>1318.1</v>
      </c>
      <c r="BZ23" s="82">
        <v>1219.5999999999999</v>
      </c>
      <c r="CA23" s="4">
        <v>2139</v>
      </c>
      <c r="CB23" s="4">
        <f t="shared" si="1"/>
        <v>958</v>
      </c>
      <c r="CC23" s="34"/>
      <c r="CD23" s="35">
        <f t="shared" si="3"/>
        <v>3623</v>
      </c>
      <c r="CE23" s="34">
        <f t="shared" si="4"/>
        <v>1</v>
      </c>
      <c r="CF23" s="35">
        <f t="shared" si="5"/>
        <v>7246</v>
      </c>
      <c r="CG23" s="35">
        <f t="shared" si="22"/>
        <v>1</v>
      </c>
      <c r="CH23" s="35">
        <f t="shared" si="23"/>
        <v>10869</v>
      </c>
      <c r="CI23" s="22">
        <v>27</v>
      </c>
      <c r="CJ23" s="217" t="str">
        <f t="shared" si="24"/>
        <v>0</v>
      </c>
      <c r="CK23" s="217" t="str">
        <f t="shared" si="25"/>
        <v>0</v>
      </c>
      <c r="CL23" s="218">
        <f t="shared" si="26"/>
        <v>6.5263126921775463</v>
      </c>
      <c r="CM23" s="219" t="str">
        <f t="shared" si="27"/>
        <v>0</v>
      </c>
      <c r="CN23" s="219" t="str">
        <f t="shared" si="28"/>
        <v>0</v>
      </c>
      <c r="CO23" s="218">
        <f t="shared" si="29"/>
        <v>6.5263126921775463</v>
      </c>
      <c r="CP23" s="97">
        <v>1</v>
      </c>
      <c r="CQ23" s="97">
        <v>1</v>
      </c>
      <c r="CR23" s="97">
        <v>1</v>
      </c>
      <c r="CS23" s="97">
        <v>1</v>
      </c>
      <c r="CT23" s="97">
        <v>2</v>
      </c>
      <c r="CU23" s="97">
        <v>0</v>
      </c>
      <c r="CV23" s="97">
        <v>0</v>
      </c>
      <c r="CW23" s="97">
        <v>0</v>
      </c>
      <c r="CX23" s="97">
        <v>3</v>
      </c>
      <c r="CY23" s="94">
        <v>105</v>
      </c>
      <c r="CZ23" s="95">
        <v>98</v>
      </c>
      <c r="DA23" s="94">
        <v>7</v>
      </c>
      <c r="DB23" s="97">
        <v>96</v>
      </c>
      <c r="DC23" s="97">
        <v>58</v>
      </c>
      <c r="DD23" s="221">
        <v>170</v>
      </c>
      <c r="DE23" s="97">
        <v>78</v>
      </c>
      <c r="DF23" s="97">
        <v>58</v>
      </c>
      <c r="DG23" s="221">
        <v>170</v>
      </c>
      <c r="DH23" s="97">
        <v>79</v>
      </c>
      <c r="DI23" s="97">
        <v>6</v>
      </c>
      <c r="DJ23" s="97">
        <v>4</v>
      </c>
      <c r="DK23" s="94">
        <v>8</v>
      </c>
      <c r="DL23" s="97">
        <v>5</v>
      </c>
      <c r="DM23" s="97">
        <v>4</v>
      </c>
      <c r="DN23" s="94">
        <v>8</v>
      </c>
      <c r="DO23" s="97">
        <v>5</v>
      </c>
      <c r="DP23" s="92">
        <f t="shared" si="6"/>
        <v>105</v>
      </c>
      <c r="DQ23" s="97">
        <v>105</v>
      </c>
      <c r="DX23" s="105"/>
      <c r="DY23" s="104"/>
    </row>
    <row r="24" spans="1:129">
      <c r="A24" s="24" t="s">
        <v>92</v>
      </c>
      <c r="B24" s="25">
        <v>18</v>
      </c>
      <c r="C24" s="3" t="s">
        <v>79</v>
      </c>
      <c r="D24" s="26">
        <v>1955</v>
      </c>
      <c r="E24" s="27"/>
      <c r="F24" s="27" t="s">
        <v>29</v>
      </c>
      <c r="G24" s="28">
        <v>1</v>
      </c>
      <c r="H24" s="27">
        <v>5</v>
      </c>
      <c r="I24" s="27" t="s">
        <v>96</v>
      </c>
      <c r="J24" s="29">
        <v>28754</v>
      </c>
      <c r="K24" s="29">
        <v>1656</v>
      </c>
      <c r="L24" s="29">
        <v>2023</v>
      </c>
      <c r="M24" s="29">
        <v>0</v>
      </c>
      <c r="N24" s="29">
        <v>76</v>
      </c>
      <c r="O24" s="29">
        <v>205</v>
      </c>
      <c r="P24" s="29">
        <v>79</v>
      </c>
      <c r="Q24" s="6">
        <v>112</v>
      </c>
      <c r="R24" s="38">
        <v>5686.6</v>
      </c>
      <c r="S24" s="32">
        <v>3516.96</v>
      </c>
      <c r="T24" s="6">
        <f t="shared" si="7"/>
        <v>48</v>
      </c>
      <c r="U24" s="30">
        <f t="shared" si="8"/>
        <v>3345.09</v>
      </c>
      <c r="V24" s="30">
        <f t="shared" si="9"/>
        <v>2037.88</v>
      </c>
      <c r="W24" s="10">
        <v>28</v>
      </c>
      <c r="X24" s="80">
        <v>2341.5100000000002</v>
      </c>
      <c r="Y24" s="80">
        <v>1479.08</v>
      </c>
      <c r="Z24" s="31"/>
      <c r="AA24" s="31"/>
      <c r="AB24" s="31"/>
      <c r="AC24" s="80">
        <f t="shared" si="10"/>
        <v>345.2</v>
      </c>
      <c r="AD24" s="38">
        <f t="shared" si="11"/>
        <v>0</v>
      </c>
      <c r="AE24" s="87"/>
      <c r="AF24" s="38">
        <v>0</v>
      </c>
      <c r="AG24" s="87">
        <v>345.2</v>
      </c>
      <c r="AH24" s="33"/>
      <c r="AI24" s="87">
        <f t="shared" si="30"/>
        <v>6031.8</v>
      </c>
      <c r="AJ24" s="29"/>
      <c r="AK24" s="29"/>
      <c r="AL24" s="29">
        <v>4</v>
      </c>
      <c r="AM24" s="29"/>
      <c r="AN24" s="29"/>
      <c r="AO24" s="29">
        <v>1</v>
      </c>
      <c r="AP24" s="29">
        <v>4400</v>
      </c>
      <c r="AQ24" s="29">
        <v>583</v>
      </c>
      <c r="AR24" s="29">
        <v>220</v>
      </c>
      <c r="AS24" s="29">
        <v>306</v>
      </c>
      <c r="AT24" s="29">
        <v>120</v>
      </c>
      <c r="AU24" s="29">
        <f t="shared" si="31"/>
        <v>3972</v>
      </c>
      <c r="AV24" s="29"/>
      <c r="AW24" s="29">
        <v>3972</v>
      </c>
      <c r="AX24" s="29"/>
      <c r="AY24" s="29">
        <v>96</v>
      </c>
      <c r="AZ24" s="29">
        <v>1654</v>
      </c>
      <c r="BA24" s="29">
        <v>1654</v>
      </c>
      <c r="BB24" s="29">
        <v>20</v>
      </c>
      <c r="BC24" s="29">
        <v>8</v>
      </c>
      <c r="BD24" s="29">
        <v>299</v>
      </c>
      <c r="BE24" s="29">
        <v>779</v>
      </c>
      <c r="BF24" s="29"/>
      <c r="BG24" s="29">
        <v>6023</v>
      </c>
      <c r="BH24" s="29">
        <v>152</v>
      </c>
      <c r="BI24" s="29"/>
      <c r="BJ24" s="98">
        <f t="shared" si="13"/>
        <v>1</v>
      </c>
      <c r="BK24" s="98">
        <f t="shared" si="14"/>
        <v>5686.6</v>
      </c>
      <c r="BL24" s="98">
        <f t="shared" si="15"/>
        <v>3516.96</v>
      </c>
      <c r="BM24" s="98" t="str">
        <f t="shared" si="16"/>
        <v>0</v>
      </c>
      <c r="BN24" s="98" t="str">
        <f t="shared" si="17"/>
        <v>0</v>
      </c>
      <c r="BO24" s="98" t="str">
        <f t="shared" si="18"/>
        <v>0</v>
      </c>
      <c r="BP24" s="98" t="str">
        <f t="shared" si="19"/>
        <v>0</v>
      </c>
      <c r="BQ24" s="98" t="str">
        <f t="shared" si="20"/>
        <v>0</v>
      </c>
      <c r="BR24" s="98" t="str">
        <f t="shared" si="21"/>
        <v>0</v>
      </c>
      <c r="BS24" s="29"/>
      <c r="BT24" s="29">
        <v>2</v>
      </c>
      <c r="BU24" s="29">
        <f>BA24</f>
        <v>1654</v>
      </c>
      <c r="BV24" s="29">
        <v>5820</v>
      </c>
      <c r="BW24" s="29"/>
      <c r="BX24" s="29">
        <f>AP24</f>
        <v>4400</v>
      </c>
      <c r="BY24" s="82">
        <v>553.83999999999992</v>
      </c>
      <c r="BZ24" s="82">
        <v>553.84</v>
      </c>
      <c r="CA24" s="4">
        <v>3911</v>
      </c>
      <c r="CB24" s="4">
        <f t="shared" si="1"/>
        <v>2255</v>
      </c>
      <c r="CC24" s="34" t="str">
        <f t="shared" ref="CC24:CC53" si="33">IF(CD24&gt;0,G24,"0")</f>
        <v>0</v>
      </c>
      <c r="CD24" s="35">
        <f t="shared" si="3"/>
        <v>0</v>
      </c>
      <c r="CE24" s="34">
        <f t="shared" si="4"/>
        <v>1</v>
      </c>
      <c r="CF24" s="35">
        <f t="shared" si="5"/>
        <v>3972</v>
      </c>
      <c r="CG24" s="35">
        <f t="shared" si="22"/>
        <v>1</v>
      </c>
      <c r="CH24" s="35">
        <f t="shared" si="23"/>
        <v>3972</v>
      </c>
      <c r="CI24" s="22">
        <v>61</v>
      </c>
      <c r="CJ24" s="217" t="str">
        <f t="shared" si="24"/>
        <v>0</v>
      </c>
      <c r="CK24" s="217" t="str">
        <f t="shared" si="25"/>
        <v>0</v>
      </c>
      <c r="CL24" s="218">
        <f t="shared" si="26"/>
        <v>41.175922343755495</v>
      </c>
      <c r="CM24" s="219" t="str">
        <f t="shared" si="27"/>
        <v>0</v>
      </c>
      <c r="CN24" s="219" t="str">
        <f t="shared" si="28"/>
        <v>0</v>
      </c>
      <c r="CO24" s="218">
        <f t="shared" si="29"/>
        <v>38.819423720945657</v>
      </c>
      <c r="CP24" s="97">
        <v>1</v>
      </c>
      <c r="CQ24" s="97">
        <v>0</v>
      </c>
      <c r="CR24" s="97">
        <v>0</v>
      </c>
      <c r="CS24" s="97">
        <v>0</v>
      </c>
      <c r="CT24" s="97">
        <v>1</v>
      </c>
      <c r="CU24" s="97">
        <v>0</v>
      </c>
      <c r="CV24" s="97">
        <v>0</v>
      </c>
      <c r="CW24" s="97">
        <v>0</v>
      </c>
      <c r="CX24" s="97">
        <v>0</v>
      </c>
      <c r="CY24" s="94">
        <v>76</v>
      </c>
      <c r="CZ24" s="95">
        <v>72</v>
      </c>
      <c r="DA24" s="94">
        <v>4</v>
      </c>
      <c r="DB24" s="97">
        <v>52</v>
      </c>
      <c r="DC24" s="97">
        <v>28</v>
      </c>
      <c r="DD24" s="221">
        <v>92</v>
      </c>
      <c r="DE24" s="97">
        <v>28</v>
      </c>
      <c r="DF24" s="97">
        <v>28</v>
      </c>
      <c r="DG24" s="221">
        <v>92</v>
      </c>
      <c r="DH24" s="97">
        <v>28</v>
      </c>
      <c r="DI24" s="97">
        <v>3</v>
      </c>
      <c r="DJ24" s="97">
        <v>0</v>
      </c>
      <c r="DK24" s="94">
        <v>21</v>
      </c>
      <c r="DL24" s="97">
        <v>0</v>
      </c>
      <c r="DM24" s="97">
        <v>0</v>
      </c>
      <c r="DN24" s="94">
        <v>21</v>
      </c>
      <c r="DO24" s="97">
        <v>0</v>
      </c>
      <c r="DP24" s="92">
        <f t="shared" si="6"/>
        <v>76</v>
      </c>
      <c r="DQ24" s="97">
        <v>47</v>
      </c>
      <c r="DX24" s="105"/>
      <c r="DY24" s="104"/>
    </row>
    <row r="25" spans="1:129">
      <c r="A25" s="24" t="s">
        <v>92</v>
      </c>
      <c r="B25" s="25">
        <v>19</v>
      </c>
      <c r="C25" s="3" t="s">
        <v>80</v>
      </c>
      <c r="D25" s="26">
        <v>1988</v>
      </c>
      <c r="E25" s="27"/>
      <c r="F25" s="27" t="s">
        <v>28</v>
      </c>
      <c r="G25" s="28">
        <v>1</v>
      </c>
      <c r="H25" s="27">
        <v>9</v>
      </c>
      <c r="I25" s="27" t="s">
        <v>95</v>
      </c>
      <c r="J25" s="29">
        <v>29422</v>
      </c>
      <c r="K25" s="29">
        <v>1192</v>
      </c>
      <c r="L25" s="29"/>
      <c r="M25" s="29">
        <v>1109</v>
      </c>
      <c r="N25" s="29">
        <v>101</v>
      </c>
      <c r="O25" s="29">
        <v>273</v>
      </c>
      <c r="P25" s="29">
        <v>102</v>
      </c>
      <c r="Q25" s="6">
        <v>242</v>
      </c>
      <c r="R25" s="38">
        <f>6516+99.8</f>
        <v>6615.8</v>
      </c>
      <c r="S25" s="32">
        <v>4048.2</v>
      </c>
      <c r="T25" s="12">
        <f>N25-W25-Z25</f>
        <v>90</v>
      </c>
      <c r="U25" s="30">
        <f>R25-X25-AA25</f>
        <v>5928.7</v>
      </c>
      <c r="V25" s="30">
        <f t="shared" si="9"/>
        <v>3627.3999999999996</v>
      </c>
      <c r="W25" s="10">
        <v>11</v>
      </c>
      <c r="X25" s="80">
        <v>687.1</v>
      </c>
      <c r="Y25" s="80">
        <v>420.8</v>
      </c>
      <c r="Z25" s="31"/>
      <c r="AA25" s="31"/>
      <c r="AB25" s="31"/>
      <c r="AC25" s="80">
        <f t="shared" si="10"/>
        <v>92.399999999999991</v>
      </c>
      <c r="AD25" s="38">
        <f t="shared" si="11"/>
        <v>0</v>
      </c>
      <c r="AE25" s="87"/>
      <c r="AF25" s="38">
        <v>0</v>
      </c>
      <c r="AG25" s="87">
        <f>192.2-99.8</f>
        <v>92.399999999999991</v>
      </c>
      <c r="AH25" s="33"/>
      <c r="AI25" s="87">
        <f t="shared" si="30"/>
        <v>6708.2</v>
      </c>
      <c r="AJ25" s="29"/>
      <c r="AK25" s="29">
        <v>3</v>
      </c>
      <c r="AL25" s="29">
        <v>3</v>
      </c>
      <c r="AM25" s="29">
        <v>3</v>
      </c>
      <c r="AN25" s="29"/>
      <c r="AO25" s="29">
        <v>3</v>
      </c>
      <c r="AP25" s="29">
        <v>5400</v>
      </c>
      <c r="AQ25" s="29"/>
      <c r="AR25" s="29">
        <v>390</v>
      </c>
      <c r="AS25" s="29">
        <v>270</v>
      </c>
      <c r="AT25" s="29">
        <v>429</v>
      </c>
      <c r="AU25" s="29">
        <f t="shared" si="31"/>
        <v>10869</v>
      </c>
      <c r="AV25" s="29"/>
      <c r="AW25" s="29">
        <v>10869</v>
      </c>
      <c r="AX25" s="29">
        <v>2970</v>
      </c>
      <c r="AY25" s="29">
        <v>188</v>
      </c>
      <c r="AZ25" s="29">
        <v>1075</v>
      </c>
      <c r="BA25" s="29">
        <v>1075</v>
      </c>
      <c r="BB25" s="29">
        <v>51</v>
      </c>
      <c r="BC25" s="29">
        <v>6</v>
      </c>
      <c r="BD25" s="29">
        <v>384</v>
      </c>
      <c r="BE25" s="29">
        <v>996</v>
      </c>
      <c r="BF25" s="29"/>
      <c r="BG25" s="29">
        <v>11400</v>
      </c>
      <c r="BH25" s="29">
        <v>4905</v>
      </c>
      <c r="BI25" s="29">
        <v>135</v>
      </c>
      <c r="BJ25" s="98" t="str">
        <f t="shared" si="13"/>
        <v>0</v>
      </c>
      <c r="BK25" s="98" t="str">
        <f t="shared" si="14"/>
        <v>0</v>
      </c>
      <c r="BL25" s="98" t="str">
        <f t="shared" si="15"/>
        <v>0</v>
      </c>
      <c r="BM25" s="98">
        <f t="shared" si="16"/>
        <v>1</v>
      </c>
      <c r="BN25" s="98">
        <f t="shared" si="17"/>
        <v>6615.8</v>
      </c>
      <c r="BO25" s="98">
        <f t="shared" si="18"/>
        <v>4048.2</v>
      </c>
      <c r="BP25" s="98" t="str">
        <f t="shared" si="19"/>
        <v>0</v>
      </c>
      <c r="BQ25" s="98" t="str">
        <f t="shared" si="20"/>
        <v>0</v>
      </c>
      <c r="BR25" s="98" t="str">
        <f t="shared" si="21"/>
        <v>0</v>
      </c>
      <c r="BS25" s="29"/>
      <c r="BT25" s="29">
        <v>3</v>
      </c>
      <c r="BU25" s="29"/>
      <c r="BV25" s="29"/>
      <c r="BW25" s="29"/>
      <c r="BX25" s="29"/>
      <c r="BY25" s="82">
        <v>2241.5</v>
      </c>
      <c r="BZ25" s="82">
        <v>1164.5</v>
      </c>
      <c r="CA25" s="4">
        <v>2287</v>
      </c>
      <c r="CB25" s="4">
        <f t="shared" si="1"/>
        <v>1095</v>
      </c>
      <c r="CC25" s="34" t="str">
        <f t="shared" si="33"/>
        <v>0</v>
      </c>
      <c r="CD25" s="35">
        <f t="shared" si="3"/>
        <v>0</v>
      </c>
      <c r="CE25" s="34">
        <f t="shared" si="4"/>
        <v>1</v>
      </c>
      <c r="CF25" s="35">
        <f t="shared" si="5"/>
        <v>10869</v>
      </c>
      <c r="CG25" s="35">
        <f t="shared" si="22"/>
        <v>1</v>
      </c>
      <c r="CH25" s="35">
        <f t="shared" si="23"/>
        <v>10869</v>
      </c>
      <c r="CI25" s="22">
        <v>32</v>
      </c>
      <c r="CJ25" s="217" t="str">
        <f t="shared" si="24"/>
        <v>0</v>
      </c>
      <c r="CK25" s="217" t="str">
        <f t="shared" si="25"/>
        <v>0</v>
      </c>
      <c r="CL25" s="218">
        <f t="shared" si="26"/>
        <v>10.38574322077451</v>
      </c>
      <c r="CM25" s="219" t="str">
        <f t="shared" si="27"/>
        <v>0</v>
      </c>
      <c r="CN25" s="219" t="str">
        <f t="shared" si="28"/>
        <v>0</v>
      </c>
      <c r="CO25" s="218">
        <f t="shared" si="29"/>
        <v>10.24268805342715</v>
      </c>
      <c r="CP25" s="97">
        <v>1</v>
      </c>
      <c r="CQ25" s="97">
        <v>0</v>
      </c>
      <c r="CR25" s="97">
        <v>0</v>
      </c>
      <c r="CS25" s="97">
        <v>0</v>
      </c>
      <c r="CT25" s="97">
        <v>2</v>
      </c>
      <c r="CU25" s="97">
        <v>0</v>
      </c>
      <c r="CV25" s="97">
        <v>0</v>
      </c>
      <c r="CW25" s="97">
        <v>0</v>
      </c>
      <c r="CX25" s="97">
        <v>0</v>
      </c>
      <c r="CY25" s="94">
        <v>100</v>
      </c>
      <c r="CZ25" s="95">
        <v>92</v>
      </c>
      <c r="DA25" s="94">
        <v>8</v>
      </c>
      <c r="DB25" s="97">
        <v>86</v>
      </c>
      <c r="DC25" s="97">
        <v>56</v>
      </c>
      <c r="DD25" s="221">
        <v>150</v>
      </c>
      <c r="DE25" s="97">
        <v>73</v>
      </c>
      <c r="DF25" s="97">
        <v>56</v>
      </c>
      <c r="DG25" s="221">
        <v>150</v>
      </c>
      <c r="DH25" s="97">
        <v>74</v>
      </c>
      <c r="DI25" s="97">
        <v>8</v>
      </c>
      <c r="DJ25" s="97">
        <v>4</v>
      </c>
      <c r="DK25" s="94">
        <v>19</v>
      </c>
      <c r="DL25" s="97">
        <v>5</v>
      </c>
      <c r="DM25" s="97">
        <v>4</v>
      </c>
      <c r="DN25" s="94">
        <v>19</v>
      </c>
      <c r="DO25" s="97">
        <v>5</v>
      </c>
      <c r="DP25" s="92">
        <f t="shared" si="6"/>
        <v>100</v>
      </c>
      <c r="DQ25" s="97">
        <v>100</v>
      </c>
      <c r="DX25" s="105"/>
      <c r="DY25" s="104"/>
    </row>
    <row r="26" spans="1:129">
      <c r="A26" s="24" t="s">
        <v>92</v>
      </c>
      <c r="B26" s="25">
        <v>20</v>
      </c>
      <c r="C26" s="3" t="s">
        <v>108</v>
      </c>
      <c r="D26" s="26">
        <v>1983</v>
      </c>
      <c r="E26" s="27"/>
      <c r="F26" s="27" t="s">
        <v>28</v>
      </c>
      <c r="G26" s="28">
        <v>1</v>
      </c>
      <c r="H26" s="27">
        <v>9</v>
      </c>
      <c r="I26" s="27" t="s">
        <v>107</v>
      </c>
      <c r="J26" s="29">
        <f>19786+9827+19410</f>
        <v>49023</v>
      </c>
      <c r="K26" s="29">
        <f>777+413+746</f>
        <v>1936</v>
      </c>
      <c r="L26" s="29"/>
      <c r="M26" s="29">
        <f>741+381+719</f>
        <v>1841</v>
      </c>
      <c r="N26" s="29">
        <v>175</v>
      </c>
      <c r="O26" s="29">
        <v>445</v>
      </c>
      <c r="P26" s="29">
        <v>176</v>
      </c>
      <c r="Q26" s="6">
        <v>446</v>
      </c>
      <c r="R26" s="38">
        <v>10834.3</v>
      </c>
      <c r="S26" s="32">
        <v>6635.8</v>
      </c>
      <c r="T26" s="6">
        <f t="shared" si="7"/>
        <v>165</v>
      </c>
      <c r="U26" s="39">
        <f t="shared" si="8"/>
        <v>10255.4</v>
      </c>
      <c r="V26" s="39">
        <f t="shared" si="9"/>
        <v>6288.3</v>
      </c>
      <c r="W26" s="10">
        <v>10</v>
      </c>
      <c r="X26" s="80">
        <v>578.9</v>
      </c>
      <c r="Y26" s="80">
        <v>347.5</v>
      </c>
      <c r="Z26" s="31"/>
      <c r="AA26" s="31"/>
      <c r="AB26" s="31"/>
      <c r="AC26" s="80">
        <f t="shared" si="10"/>
        <v>0</v>
      </c>
      <c r="AD26" s="38">
        <f t="shared" si="11"/>
        <v>0</v>
      </c>
      <c r="AE26" s="87"/>
      <c r="AF26" s="38">
        <v>0</v>
      </c>
      <c r="AG26" s="87"/>
      <c r="AH26" s="33"/>
      <c r="AI26" s="87">
        <f t="shared" si="30"/>
        <v>10834.3</v>
      </c>
      <c r="AJ26" s="29"/>
      <c r="AK26" s="29">
        <f>2+1+2</f>
        <v>5</v>
      </c>
      <c r="AL26" s="29">
        <f t="shared" ref="AL26:AO26" si="34">2+1+2</f>
        <v>5</v>
      </c>
      <c r="AM26" s="29">
        <f t="shared" si="34"/>
        <v>5</v>
      </c>
      <c r="AN26" s="29"/>
      <c r="AO26" s="29">
        <f t="shared" si="34"/>
        <v>5</v>
      </c>
      <c r="AP26" s="29">
        <f>3480+2130+3480</f>
        <v>9090</v>
      </c>
      <c r="AQ26" s="29"/>
      <c r="AR26" s="29">
        <v>855</v>
      </c>
      <c r="AS26" s="29">
        <f>140+175+106</f>
        <v>421</v>
      </c>
      <c r="AT26" s="29">
        <f>286+143+286</f>
        <v>715</v>
      </c>
      <c r="AU26" s="29">
        <f t="shared" si="31"/>
        <v>19928</v>
      </c>
      <c r="AV26" s="29">
        <f>7246+5436+7246</f>
        <v>19928</v>
      </c>
      <c r="AW26" s="29"/>
      <c r="AX26" s="29">
        <f>1900+1900</f>
        <v>3800</v>
      </c>
      <c r="AY26" s="29">
        <f>169+103+163</f>
        <v>435</v>
      </c>
      <c r="AZ26" s="29">
        <f>720+350+706</f>
        <v>1776</v>
      </c>
      <c r="BA26" s="29">
        <f>720+350+706</f>
        <v>1776</v>
      </c>
      <c r="BB26" s="29">
        <f>34+17+34</f>
        <v>85</v>
      </c>
      <c r="BC26" s="29">
        <f>4+2+4</f>
        <v>10</v>
      </c>
      <c r="BD26" s="29">
        <f>257+106+257</f>
        <v>620</v>
      </c>
      <c r="BE26" s="29">
        <f>607+298+677</f>
        <v>1582</v>
      </c>
      <c r="BF26" s="29"/>
      <c r="BG26" s="29">
        <f>7600+3800+7600</f>
        <v>19000</v>
      </c>
      <c r="BH26" s="29">
        <f>3270+1635+3270</f>
        <v>8175</v>
      </c>
      <c r="BI26" s="29">
        <f>90+45+90</f>
        <v>225</v>
      </c>
      <c r="BJ26" s="98" t="str">
        <f t="shared" si="13"/>
        <v>0</v>
      </c>
      <c r="BK26" s="98" t="str">
        <f t="shared" si="14"/>
        <v>0</v>
      </c>
      <c r="BL26" s="98" t="str">
        <f t="shared" si="15"/>
        <v>0</v>
      </c>
      <c r="BM26" s="98" t="str">
        <f t="shared" si="16"/>
        <v>0</v>
      </c>
      <c r="BN26" s="98" t="str">
        <f t="shared" si="17"/>
        <v>0</v>
      </c>
      <c r="BO26" s="98" t="str">
        <f t="shared" si="18"/>
        <v>0</v>
      </c>
      <c r="BP26" s="98">
        <f t="shared" si="19"/>
        <v>1</v>
      </c>
      <c r="BQ26" s="98">
        <f t="shared" si="20"/>
        <v>10834.3</v>
      </c>
      <c r="BR26" s="98">
        <f t="shared" si="21"/>
        <v>6635.8</v>
      </c>
      <c r="BS26" s="29"/>
      <c r="BT26" s="29">
        <v>6</v>
      </c>
      <c r="BU26" s="29"/>
      <c r="BV26" s="29"/>
      <c r="BW26" s="29"/>
      <c r="BX26" s="29">
        <v>2130</v>
      </c>
      <c r="BY26" s="82">
        <v>2429.6</v>
      </c>
      <c r="BZ26" s="82">
        <v>1936.2</v>
      </c>
      <c r="CA26" s="4">
        <v>4129</v>
      </c>
      <c r="CB26" s="4">
        <f t="shared" si="1"/>
        <v>2193</v>
      </c>
      <c r="CC26" s="34">
        <f t="shared" si="33"/>
        <v>1</v>
      </c>
      <c r="CD26" s="35">
        <f t="shared" si="3"/>
        <v>19928</v>
      </c>
      <c r="CE26" s="34" t="str">
        <f t="shared" si="4"/>
        <v>0</v>
      </c>
      <c r="CF26" s="35">
        <f t="shared" si="5"/>
        <v>0</v>
      </c>
      <c r="CG26" s="35">
        <f t="shared" si="22"/>
        <v>1</v>
      </c>
      <c r="CH26" s="35">
        <f t="shared" si="23"/>
        <v>19928</v>
      </c>
      <c r="CI26" s="22">
        <v>25</v>
      </c>
      <c r="CJ26" s="217" t="str">
        <f t="shared" si="24"/>
        <v>0</v>
      </c>
      <c r="CK26" s="217" t="str">
        <f t="shared" si="25"/>
        <v>0</v>
      </c>
      <c r="CL26" s="218">
        <f t="shared" si="26"/>
        <v>5.3432155284605374</v>
      </c>
      <c r="CM26" s="219" t="str">
        <f t="shared" si="27"/>
        <v>0</v>
      </c>
      <c r="CN26" s="219" t="str">
        <f t="shared" si="28"/>
        <v>0</v>
      </c>
      <c r="CO26" s="218">
        <f t="shared" si="29"/>
        <v>5.3432155284605374</v>
      </c>
      <c r="CP26" s="97">
        <v>1</v>
      </c>
      <c r="CQ26" s="97">
        <v>0</v>
      </c>
      <c r="CR26" s="97">
        <v>0</v>
      </c>
      <c r="CS26" s="97">
        <v>0</v>
      </c>
      <c r="CT26" s="97">
        <v>4</v>
      </c>
      <c r="CU26" s="97">
        <v>0</v>
      </c>
      <c r="CV26" s="97">
        <v>0</v>
      </c>
      <c r="CW26" s="97">
        <v>0</v>
      </c>
      <c r="CX26" s="97">
        <v>0</v>
      </c>
      <c r="CY26" s="94">
        <v>175</v>
      </c>
      <c r="CZ26" s="95">
        <v>165</v>
      </c>
      <c r="DA26" s="94">
        <v>10</v>
      </c>
      <c r="DB26" s="97">
        <v>148</v>
      </c>
      <c r="DC26" s="97">
        <v>116</v>
      </c>
      <c r="DD26" s="221">
        <v>275</v>
      </c>
      <c r="DE26" s="97">
        <v>152</v>
      </c>
      <c r="DF26" s="97">
        <v>116</v>
      </c>
      <c r="DG26" s="221">
        <v>275</v>
      </c>
      <c r="DH26" s="97">
        <v>132</v>
      </c>
      <c r="DI26" s="97">
        <v>6</v>
      </c>
      <c r="DJ26" s="97">
        <v>3</v>
      </c>
      <c r="DK26" s="94">
        <v>6</v>
      </c>
      <c r="DL26" s="97">
        <v>3</v>
      </c>
      <c r="DM26" s="97">
        <v>3</v>
      </c>
      <c r="DN26" s="94">
        <v>6</v>
      </c>
      <c r="DO26" s="97">
        <v>3</v>
      </c>
      <c r="DP26" s="92">
        <f t="shared" si="6"/>
        <v>175</v>
      </c>
      <c r="DQ26" s="97">
        <v>175</v>
      </c>
      <c r="DX26" s="105"/>
      <c r="DY26" s="104"/>
    </row>
    <row r="27" spans="1:129">
      <c r="A27" s="112" t="s">
        <v>92</v>
      </c>
      <c r="B27" s="25">
        <v>21</v>
      </c>
      <c r="C27" s="44" t="s">
        <v>81</v>
      </c>
      <c r="D27" s="45">
        <v>1983</v>
      </c>
      <c r="E27" s="46"/>
      <c r="F27" s="46" t="s">
        <v>28</v>
      </c>
      <c r="G27" s="47">
        <v>1</v>
      </c>
      <c r="H27" s="46">
        <v>9</v>
      </c>
      <c r="I27" s="46" t="s">
        <v>95</v>
      </c>
      <c r="J27" s="48">
        <v>19920</v>
      </c>
      <c r="K27" s="48">
        <v>765</v>
      </c>
      <c r="L27" s="48"/>
      <c r="M27" s="48">
        <v>763</v>
      </c>
      <c r="N27" s="48">
        <v>70</v>
      </c>
      <c r="O27" s="48">
        <v>196</v>
      </c>
      <c r="P27" s="48">
        <v>70</v>
      </c>
      <c r="Q27" s="113">
        <v>164</v>
      </c>
      <c r="R27" s="114">
        <v>4562</v>
      </c>
      <c r="S27" s="49">
        <v>2875.8</v>
      </c>
      <c r="T27" s="113">
        <f t="shared" si="7"/>
        <v>61</v>
      </c>
      <c r="U27" s="115">
        <f t="shared" si="8"/>
        <v>3921.5</v>
      </c>
      <c r="V27" s="115">
        <f t="shared" si="9"/>
        <v>2471</v>
      </c>
      <c r="W27" s="51">
        <v>9</v>
      </c>
      <c r="X27" s="90">
        <v>640.5</v>
      </c>
      <c r="Y27" s="90">
        <v>404.8</v>
      </c>
      <c r="Z27" s="52"/>
      <c r="AA27" s="52"/>
      <c r="AB27" s="52"/>
      <c r="AC27" s="90">
        <f t="shared" si="10"/>
        <v>0</v>
      </c>
      <c r="AD27" s="114">
        <f t="shared" si="11"/>
        <v>0</v>
      </c>
      <c r="AE27" s="116"/>
      <c r="AF27" s="114">
        <v>0</v>
      </c>
      <c r="AG27" s="116"/>
      <c r="AH27" s="53"/>
      <c r="AI27" s="116">
        <f t="shared" si="30"/>
        <v>4562</v>
      </c>
      <c r="AJ27" s="48"/>
      <c r="AK27" s="48">
        <v>2</v>
      </c>
      <c r="AL27" s="48">
        <v>2</v>
      </c>
      <c r="AM27" s="48">
        <v>2</v>
      </c>
      <c r="AN27" s="48"/>
      <c r="AO27" s="48">
        <v>2</v>
      </c>
      <c r="AP27" s="48">
        <v>3930</v>
      </c>
      <c r="AQ27" s="48"/>
      <c r="AR27" s="48">
        <v>305</v>
      </c>
      <c r="AS27" s="48">
        <v>223</v>
      </c>
      <c r="AT27" s="48">
        <v>286</v>
      </c>
      <c r="AU27" s="48">
        <f t="shared" si="31"/>
        <v>7246</v>
      </c>
      <c r="AV27" s="48"/>
      <c r="AW27" s="48">
        <v>7246</v>
      </c>
      <c r="AX27" s="48">
        <v>2140</v>
      </c>
      <c r="AY27" s="48">
        <v>167</v>
      </c>
      <c r="AZ27" s="48">
        <v>740</v>
      </c>
      <c r="BA27" s="48">
        <v>740</v>
      </c>
      <c r="BB27" s="48">
        <v>34</v>
      </c>
      <c r="BC27" s="48">
        <v>4</v>
      </c>
      <c r="BD27" s="48">
        <v>260</v>
      </c>
      <c r="BE27" s="48">
        <v>670</v>
      </c>
      <c r="BF27" s="48"/>
      <c r="BG27" s="48">
        <v>7600</v>
      </c>
      <c r="BH27" s="48">
        <v>3270</v>
      </c>
      <c r="BI27" s="48">
        <v>90</v>
      </c>
      <c r="BJ27" s="117" t="str">
        <f t="shared" si="13"/>
        <v>0</v>
      </c>
      <c r="BK27" s="117" t="str">
        <f t="shared" si="14"/>
        <v>0</v>
      </c>
      <c r="BL27" s="117" t="str">
        <f t="shared" si="15"/>
        <v>0</v>
      </c>
      <c r="BM27" s="117">
        <f t="shared" si="16"/>
        <v>1</v>
      </c>
      <c r="BN27" s="117">
        <f t="shared" si="17"/>
        <v>4562</v>
      </c>
      <c r="BO27" s="117">
        <f t="shared" si="18"/>
        <v>2875.8</v>
      </c>
      <c r="BP27" s="117" t="str">
        <f t="shared" si="19"/>
        <v>0</v>
      </c>
      <c r="BQ27" s="117" t="str">
        <f t="shared" si="20"/>
        <v>0</v>
      </c>
      <c r="BR27" s="117" t="str">
        <f t="shared" si="21"/>
        <v>0</v>
      </c>
      <c r="BS27" s="48"/>
      <c r="BT27" s="48">
        <v>2</v>
      </c>
      <c r="BU27" s="48"/>
      <c r="BV27" s="48"/>
      <c r="BW27" s="48"/>
      <c r="BX27" s="48"/>
      <c r="BY27" s="118">
        <v>831.6</v>
      </c>
      <c r="BZ27" s="118">
        <v>746.6</v>
      </c>
      <c r="CA27" s="4">
        <v>1481</v>
      </c>
      <c r="CB27" s="4">
        <f t="shared" si="1"/>
        <v>716</v>
      </c>
      <c r="CC27" s="34" t="str">
        <f t="shared" si="33"/>
        <v>0</v>
      </c>
      <c r="CD27" s="35">
        <f t="shared" si="3"/>
        <v>0</v>
      </c>
      <c r="CE27" s="34">
        <f t="shared" si="4"/>
        <v>1</v>
      </c>
      <c r="CF27" s="35">
        <f t="shared" si="5"/>
        <v>7246</v>
      </c>
      <c r="CG27" s="35">
        <f t="shared" si="22"/>
        <v>1</v>
      </c>
      <c r="CH27" s="35">
        <f t="shared" si="23"/>
        <v>7246</v>
      </c>
      <c r="CI27" s="119">
        <v>31</v>
      </c>
      <c r="CJ27" s="222" t="str">
        <f t="shared" si="24"/>
        <v>0</v>
      </c>
      <c r="CK27" s="222" t="str">
        <f t="shared" si="25"/>
        <v>0</v>
      </c>
      <c r="CL27" s="223">
        <f t="shared" si="26"/>
        <v>14.039894782989917</v>
      </c>
      <c r="CM27" s="224" t="str">
        <f t="shared" si="27"/>
        <v>0</v>
      </c>
      <c r="CN27" s="224" t="str">
        <f t="shared" si="28"/>
        <v>0</v>
      </c>
      <c r="CO27" s="223">
        <f t="shared" si="29"/>
        <v>14.039894782989917</v>
      </c>
      <c r="CP27" s="225">
        <v>1</v>
      </c>
      <c r="CQ27" s="225">
        <v>0</v>
      </c>
      <c r="CR27" s="225">
        <v>0</v>
      </c>
      <c r="CS27" s="225">
        <v>0</v>
      </c>
      <c r="CT27" s="225">
        <v>2</v>
      </c>
      <c r="CU27" s="225">
        <v>0</v>
      </c>
      <c r="CV27" s="225">
        <v>0</v>
      </c>
      <c r="CW27" s="225">
        <v>0</v>
      </c>
      <c r="CX27" s="225">
        <v>0</v>
      </c>
      <c r="CY27" s="120">
        <v>70</v>
      </c>
      <c r="CZ27" s="121">
        <v>61</v>
      </c>
      <c r="DA27" s="120">
        <v>9</v>
      </c>
      <c r="DB27" s="225">
        <v>58</v>
      </c>
      <c r="DC27" s="225">
        <v>55</v>
      </c>
      <c r="DD27" s="226">
        <v>113</v>
      </c>
      <c r="DE27" s="225">
        <v>42</v>
      </c>
      <c r="DF27" s="225">
        <v>55</v>
      </c>
      <c r="DG27" s="226">
        <v>113</v>
      </c>
      <c r="DH27" s="225">
        <v>42</v>
      </c>
      <c r="DI27" s="225">
        <v>7</v>
      </c>
      <c r="DJ27" s="225">
        <v>2</v>
      </c>
      <c r="DK27" s="120">
        <v>9</v>
      </c>
      <c r="DL27" s="225">
        <v>3</v>
      </c>
      <c r="DM27" s="225">
        <v>2</v>
      </c>
      <c r="DN27" s="120">
        <v>9</v>
      </c>
      <c r="DO27" s="225">
        <v>3</v>
      </c>
      <c r="DP27" s="227">
        <f t="shared" si="6"/>
        <v>70</v>
      </c>
      <c r="DQ27" s="225">
        <v>70</v>
      </c>
      <c r="DX27" s="105"/>
      <c r="DY27" s="104"/>
    </row>
    <row r="28" spans="1:129" s="197" customFormat="1">
      <c r="A28" s="228"/>
      <c r="B28" s="25">
        <v>22</v>
      </c>
      <c r="C28" s="197" t="s">
        <v>178</v>
      </c>
      <c r="D28" s="197">
        <v>1951</v>
      </c>
      <c r="E28" s="142"/>
      <c r="F28" s="197" t="s">
        <v>29</v>
      </c>
      <c r="G28" s="197">
        <v>1</v>
      </c>
      <c r="H28" s="197" t="s">
        <v>179</v>
      </c>
      <c r="I28" s="197" t="s">
        <v>96</v>
      </c>
      <c r="J28" s="142">
        <v>44005</v>
      </c>
      <c r="K28" s="142">
        <v>1943</v>
      </c>
      <c r="L28" s="142">
        <v>2281</v>
      </c>
      <c r="M28" s="142">
        <v>0</v>
      </c>
      <c r="N28" s="197">
        <v>20</v>
      </c>
      <c r="O28" s="197">
        <v>60</v>
      </c>
      <c r="P28" s="197">
        <v>35</v>
      </c>
      <c r="Q28" s="197">
        <v>40</v>
      </c>
      <c r="R28" s="197">
        <v>1757.71</v>
      </c>
      <c r="S28" s="197">
        <v>1135.68</v>
      </c>
      <c r="T28" s="197">
        <v>20</v>
      </c>
      <c r="U28" s="197">
        <f t="shared" si="8"/>
        <v>1757.71</v>
      </c>
      <c r="V28" s="197">
        <f t="shared" si="9"/>
        <v>1135.68</v>
      </c>
      <c r="AC28" s="197">
        <f t="shared" si="10"/>
        <v>5049.5</v>
      </c>
      <c r="AD28" s="197">
        <f t="shared" si="11"/>
        <v>4282.5</v>
      </c>
      <c r="AF28" s="197">
        <v>4282.5</v>
      </c>
      <c r="AG28" s="197">
        <v>767</v>
      </c>
      <c r="AI28" s="197">
        <f t="shared" si="30"/>
        <v>6807.21</v>
      </c>
      <c r="AJ28" s="142"/>
      <c r="AK28" s="142"/>
      <c r="AL28" s="142">
        <v>2</v>
      </c>
      <c r="AM28" s="142"/>
      <c r="AN28" s="142"/>
      <c r="AO28" s="142">
        <v>1</v>
      </c>
      <c r="AP28" s="142">
        <v>5466</v>
      </c>
      <c r="AQ28" s="142">
        <v>1432</v>
      </c>
      <c r="AR28" s="142">
        <v>400</v>
      </c>
      <c r="AS28" s="142">
        <v>280</v>
      </c>
      <c r="AT28" s="142">
        <v>84</v>
      </c>
      <c r="AU28" s="142">
        <f t="shared" si="31"/>
        <v>1722</v>
      </c>
      <c r="AV28" s="142"/>
      <c r="AW28" s="142">
        <v>1722</v>
      </c>
      <c r="AX28" s="142"/>
      <c r="AY28" s="142">
        <v>129</v>
      </c>
      <c r="AZ28" s="142">
        <v>1932</v>
      </c>
      <c r="BA28" s="142">
        <v>1932</v>
      </c>
      <c r="BB28" s="142">
        <v>11</v>
      </c>
      <c r="BC28" s="142">
        <v>4</v>
      </c>
      <c r="BD28" s="142">
        <v>112</v>
      </c>
      <c r="BE28" s="142">
        <v>662</v>
      </c>
      <c r="BF28" s="142"/>
      <c r="BG28" s="142">
        <v>4570</v>
      </c>
      <c r="BH28" s="142">
        <v>66</v>
      </c>
      <c r="BI28" s="142"/>
      <c r="BJ28" s="197">
        <f t="shared" si="13"/>
        <v>1</v>
      </c>
      <c r="BK28" s="197">
        <f t="shared" si="14"/>
        <v>1757.71</v>
      </c>
      <c r="BL28" s="197">
        <f t="shared" si="15"/>
        <v>1135.68</v>
      </c>
      <c r="BM28" s="197" t="str">
        <f t="shared" si="16"/>
        <v>0</v>
      </c>
      <c r="BN28" s="197" t="str">
        <f t="shared" si="17"/>
        <v>0</v>
      </c>
      <c r="BO28" s="197" t="str">
        <f t="shared" si="18"/>
        <v>0</v>
      </c>
      <c r="BP28" s="197" t="str">
        <f t="shared" si="19"/>
        <v>0</v>
      </c>
      <c r="BQ28" s="197" t="str">
        <f t="shared" si="20"/>
        <v>0</v>
      </c>
      <c r="BR28" s="197" t="str">
        <f t="shared" si="21"/>
        <v>0</v>
      </c>
      <c r="BS28" s="142"/>
      <c r="BT28" s="142">
        <v>2</v>
      </c>
      <c r="BU28" s="142">
        <f>BA28</f>
        <v>1932</v>
      </c>
      <c r="BV28" s="142">
        <v>2519</v>
      </c>
      <c r="BW28" s="142"/>
      <c r="BX28" s="142">
        <f>AP28</f>
        <v>5466</v>
      </c>
      <c r="BY28" s="142">
        <v>194.2</v>
      </c>
      <c r="BZ28" s="142">
        <v>194.2</v>
      </c>
      <c r="CA28" s="197">
        <v>3559</v>
      </c>
      <c r="CB28" s="197">
        <f t="shared" si="1"/>
        <v>1616</v>
      </c>
      <c r="CC28" s="197">
        <v>0</v>
      </c>
      <c r="CD28" s="197">
        <v>0</v>
      </c>
      <c r="CE28" s="197">
        <f t="shared" si="4"/>
        <v>1</v>
      </c>
      <c r="CF28" s="197">
        <f t="shared" si="5"/>
        <v>1722</v>
      </c>
      <c r="CG28" s="197">
        <v>1</v>
      </c>
      <c r="CH28" s="197">
        <f t="shared" si="23"/>
        <v>1722</v>
      </c>
      <c r="CI28" s="197">
        <v>51</v>
      </c>
      <c r="CJ28" s="229" t="str">
        <f t="shared" si="24"/>
        <v>0</v>
      </c>
      <c r="CK28" s="229" t="str">
        <f t="shared" si="25"/>
        <v>0</v>
      </c>
      <c r="CL28" s="230">
        <f t="shared" si="26"/>
        <v>0</v>
      </c>
      <c r="CM28" s="231">
        <f t="shared" si="27"/>
        <v>1</v>
      </c>
      <c r="CN28" s="231">
        <f t="shared" si="28"/>
        <v>6807.21</v>
      </c>
      <c r="CO28" s="230">
        <f t="shared" si="29"/>
        <v>62.911236762197731</v>
      </c>
      <c r="CP28" s="197">
        <v>1</v>
      </c>
      <c r="CQ28" s="197">
        <v>0</v>
      </c>
      <c r="CR28" s="197">
        <v>0</v>
      </c>
      <c r="CS28" s="197">
        <v>0</v>
      </c>
      <c r="CT28" s="197">
        <v>2</v>
      </c>
      <c r="CU28" s="197">
        <v>0</v>
      </c>
      <c r="CV28" s="197">
        <v>0</v>
      </c>
      <c r="CW28" s="197">
        <v>0</v>
      </c>
      <c r="CX28" s="197">
        <v>0</v>
      </c>
      <c r="CY28" s="197">
        <v>20</v>
      </c>
      <c r="CZ28" s="197">
        <v>20</v>
      </c>
      <c r="DB28" s="197">
        <v>14</v>
      </c>
      <c r="DC28" s="197">
        <v>4</v>
      </c>
      <c r="DD28" s="197">
        <v>24</v>
      </c>
      <c r="DE28" s="197">
        <v>5</v>
      </c>
      <c r="DF28" s="197">
        <v>4</v>
      </c>
      <c r="DG28" s="197">
        <v>29</v>
      </c>
      <c r="DH28" s="197">
        <v>9</v>
      </c>
      <c r="DI28" s="197">
        <v>0</v>
      </c>
      <c r="DJ28" s="197">
        <v>0</v>
      </c>
      <c r="DK28" s="197">
        <v>0</v>
      </c>
      <c r="DL28" s="197">
        <v>0</v>
      </c>
      <c r="DM28" s="197">
        <v>0</v>
      </c>
      <c r="DN28" s="197">
        <v>0</v>
      </c>
      <c r="DO28" s="197">
        <v>0</v>
      </c>
      <c r="DP28" s="197">
        <f t="shared" si="6"/>
        <v>20</v>
      </c>
    </row>
    <row r="29" spans="1:129">
      <c r="A29" s="122" t="s">
        <v>92</v>
      </c>
      <c r="B29" s="25">
        <v>23</v>
      </c>
      <c r="C29" s="123" t="s">
        <v>82</v>
      </c>
      <c r="D29" s="124">
        <v>1951</v>
      </c>
      <c r="E29" s="125"/>
      <c r="F29" s="125" t="s">
        <v>29</v>
      </c>
      <c r="G29" s="126">
        <v>1</v>
      </c>
      <c r="H29" s="125">
        <v>5</v>
      </c>
      <c r="I29" s="125" t="s">
        <v>96</v>
      </c>
      <c r="J29" s="127">
        <v>35082</v>
      </c>
      <c r="K29" s="127">
        <v>1910</v>
      </c>
      <c r="L29" s="127">
        <v>2296</v>
      </c>
      <c r="M29" s="127">
        <v>0</v>
      </c>
      <c r="N29" s="127">
        <v>72</v>
      </c>
      <c r="O29" s="127">
        <v>185</v>
      </c>
      <c r="P29" s="127">
        <v>76</v>
      </c>
      <c r="Q29" s="128">
        <v>116</v>
      </c>
      <c r="R29" s="129">
        <v>5981.1</v>
      </c>
      <c r="S29" s="130">
        <v>3611.82</v>
      </c>
      <c r="T29" s="128">
        <f t="shared" si="7"/>
        <v>70</v>
      </c>
      <c r="U29" s="131">
        <f t="shared" si="8"/>
        <v>5825.5700000000006</v>
      </c>
      <c r="V29" s="131">
        <f t="shared" si="9"/>
        <v>3523.27</v>
      </c>
      <c r="W29" s="132">
        <v>2</v>
      </c>
      <c r="X29" s="133">
        <v>155.53</v>
      </c>
      <c r="Y29" s="133">
        <v>88.55</v>
      </c>
      <c r="Z29" s="134"/>
      <c r="AA29" s="134"/>
      <c r="AB29" s="134"/>
      <c r="AC29" s="133">
        <f t="shared" si="10"/>
        <v>1177.7</v>
      </c>
      <c r="AD29" s="129">
        <f t="shared" si="11"/>
        <v>406.40000000000003</v>
      </c>
      <c r="AE29" s="135"/>
      <c r="AF29" s="129">
        <f>719.14-266.2-3.84-42.7</f>
        <v>406.40000000000003</v>
      </c>
      <c r="AG29" s="135">
        <f>498.9+266.2+6.2</f>
        <v>771.3</v>
      </c>
      <c r="AH29" s="136"/>
      <c r="AI29" s="135">
        <f t="shared" si="30"/>
        <v>7158.8</v>
      </c>
      <c r="AJ29" s="127"/>
      <c r="AK29" s="127"/>
      <c r="AL29" s="127">
        <v>4</v>
      </c>
      <c r="AM29" s="127"/>
      <c r="AN29" s="127"/>
      <c r="AO29" s="127">
        <v>1</v>
      </c>
      <c r="AP29" s="127">
        <v>4640</v>
      </c>
      <c r="AQ29" s="127">
        <v>1376</v>
      </c>
      <c r="AR29" s="127">
        <v>360</v>
      </c>
      <c r="AS29" s="127">
        <v>270</v>
      </c>
      <c r="AT29" s="127">
        <v>120</v>
      </c>
      <c r="AU29" s="127">
        <f t="shared" si="31"/>
        <v>3972</v>
      </c>
      <c r="AV29" s="127"/>
      <c r="AW29" s="127">
        <v>3972</v>
      </c>
      <c r="AX29" s="127"/>
      <c r="AY29" s="127">
        <v>128</v>
      </c>
      <c r="AZ29" s="127">
        <v>1920</v>
      </c>
      <c r="BA29" s="127">
        <v>1920</v>
      </c>
      <c r="BB29" s="127">
        <v>20</v>
      </c>
      <c r="BC29" s="127">
        <v>8</v>
      </c>
      <c r="BD29" s="127">
        <v>328</v>
      </c>
      <c r="BE29" s="127">
        <v>688</v>
      </c>
      <c r="BF29" s="127"/>
      <c r="BG29" s="127">
        <v>5351</v>
      </c>
      <c r="BH29" s="127">
        <v>152</v>
      </c>
      <c r="BI29" s="127"/>
      <c r="BJ29" s="137">
        <f t="shared" si="13"/>
        <v>1</v>
      </c>
      <c r="BK29" s="137">
        <f t="shared" si="14"/>
        <v>5981.1</v>
      </c>
      <c r="BL29" s="137">
        <f t="shared" si="15"/>
        <v>3611.82</v>
      </c>
      <c r="BM29" s="137" t="str">
        <f t="shared" si="16"/>
        <v>0</v>
      </c>
      <c r="BN29" s="137" t="str">
        <f t="shared" si="17"/>
        <v>0</v>
      </c>
      <c r="BO29" s="137" t="str">
        <f t="shared" si="18"/>
        <v>0</v>
      </c>
      <c r="BP29" s="137" t="str">
        <f t="shared" si="19"/>
        <v>0</v>
      </c>
      <c r="BQ29" s="137" t="str">
        <f t="shared" si="20"/>
        <v>0</v>
      </c>
      <c r="BR29" s="137" t="str">
        <f t="shared" si="21"/>
        <v>0</v>
      </c>
      <c r="BS29" s="127"/>
      <c r="BT29" s="127">
        <v>6</v>
      </c>
      <c r="BU29" s="127">
        <f t="shared" ref="BU29:BU35" si="35">BA29</f>
        <v>1920</v>
      </c>
      <c r="BV29" s="127">
        <v>5217</v>
      </c>
      <c r="BW29" s="127"/>
      <c r="BX29" s="127">
        <f t="shared" ref="BX29:BX35" si="36">AP29</f>
        <v>4640</v>
      </c>
      <c r="BY29" s="138">
        <v>629.3599999999999</v>
      </c>
      <c r="BZ29" s="138">
        <v>590.98</v>
      </c>
      <c r="CA29" s="4">
        <v>5058</v>
      </c>
      <c r="CB29" s="4">
        <f t="shared" si="1"/>
        <v>3148</v>
      </c>
      <c r="CC29" s="34" t="str">
        <f t="shared" si="33"/>
        <v>0</v>
      </c>
      <c r="CD29" s="35">
        <f t="shared" si="3"/>
        <v>0</v>
      </c>
      <c r="CE29" s="34">
        <f t="shared" si="4"/>
        <v>1</v>
      </c>
      <c r="CF29" s="35">
        <f t="shared" si="5"/>
        <v>3972</v>
      </c>
      <c r="CG29" s="35">
        <f t="shared" si="22"/>
        <v>1</v>
      </c>
      <c r="CH29" s="35">
        <f t="shared" si="23"/>
        <v>3972</v>
      </c>
      <c r="CI29" s="139">
        <v>46</v>
      </c>
      <c r="CJ29" s="229" t="str">
        <f t="shared" si="24"/>
        <v>0</v>
      </c>
      <c r="CK29" s="229" t="str">
        <f t="shared" si="25"/>
        <v>0</v>
      </c>
      <c r="CL29" s="230">
        <f t="shared" si="26"/>
        <v>2.6003577937168747</v>
      </c>
      <c r="CM29" s="231" t="str">
        <f t="shared" si="27"/>
        <v>0</v>
      </c>
      <c r="CN29" s="231" t="str">
        <f t="shared" si="28"/>
        <v>0</v>
      </c>
      <c r="CO29" s="230">
        <f t="shared" si="29"/>
        <v>7.8494999161870709</v>
      </c>
      <c r="CP29" s="232">
        <v>1</v>
      </c>
      <c r="CQ29" s="232">
        <v>0</v>
      </c>
      <c r="CR29" s="232">
        <v>0</v>
      </c>
      <c r="CS29" s="232">
        <v>0</v>
      </c>
      <c r="CT29" s="232">
        <v>2</v>
      </c>
      <c r="CU29" s="232">
        <v>0</v>
      </c>
      <c r="CV29" s="232">
        <v>0</v>
      </c>
      <c r="CW29" s="232">
        <v>0</v>
      </c>
      <c r="CX29" s="232">
        <v>0</v>
      </c>
      <c r="CY29" s="140">
        <v>72</v>
      </c>
      <c r="CZ29" s="141">
        <v>70</v>
      </c>
      <c r="DA29" s="140">
        <v>2</v>
      </c>
      <c r="DB29" s="232">
        <v>66</v>
      </c>
      <c r="DC29" s="232">
        <v>27</v>
      </c>
      <c r="DD29" s="233">
        <v>117</v>
      </c>
      <c r="DE29" s="232">
        <v>37</v>
      </c>
      <c r="DF29" s="232">
        <v>27</v>
      </c>
      <c r="DG29" s="233">
        <v>117</v>
      </c>
      <c r="DH29" s="232">
        <v>54</v>
      </c>
      <c r="DI29" s="232">
        <v>2</v>
      </c>
      <c r="DJ29" s="232">
        <v>0</v>
      </c>
      <c r="DK29" s="140">
        <v>2</v>
      </c>
      <c r="DL29" s="232">
        <v>0</v>
      </c>
      <c r="DM29" s="232">
        <v>0</v>
      </c>
      <c r="DN29" s="140">
        <v>2</v>
      </c>
      <c r="DO29" s="232">
        <v>0</v>
      </c>
      <c r="DP29" s="234">
        <f t="shared" si="6"/>
        <v>72</v>
      </c>
      <c r="DQ29" s="232">
        <v>11</v>
      </c>
      <c r="DX29" s="105"/>
      <c r="DY29" s="104"/>
    </row>
    <row r="30" spans="1:129">
      <c r="A30" s="24" t="s">
        <v>92</v>
      </c>
      <c r="B30" s="25">
        <v>24</v>
      </c>
      <c r="C30" s="3" t="s">
        <v>83</v>
      </c>
      <c r="D30" s="26">
        <v>1951</v>
      </c>
      <c r="E30" s="27"/>
      <c r="F30" s="27" t="s">
        <v>29</v>
      </c>
      <c r="G30" s="28">
        <v>1</v>
      </c>
      <c r="H30" s="27">
        <v>5</v>
      </c>
      <c r="I30" s="27" t="s">
        <v>96</v>
      </c>
      <c r="J30" s="29">
        <v>50810</v>
      </c>
      <c r="K30" s="29">
        <v>2912</v>
      </c>
      <c r="L30" s="29">
        <v>3315</v>
      </c>
      <c r="M30" s="29">
        <v>0</v>
      </c>
      <c r="N30" s="29">
        <v>103</v>
      </c>
      <c r="O30" s="29">
        <v>275</v>
      </c>
      <c r="P30" s="29">
        <v>107</v>
      </c>
      <c r="Q30" s="6">
        <v>189</v>
      </c>
      <c r="R30" s="38">
        <v>7574.81</v>
      </c>
      <c r="S30" s="32">
        <v>4428.92</v>
      </c>
      <c r="T30" s="6">
        <f t="shared" si="7"/>
        <v>92</v>
      </c>
      <c r="U30" s="30">
        <f t="shared" si="8"/>
        <v>6714.33</v>
      </c>
      <c r="V30" s="30">
        <f t="shared" si="9"/>
        <v>3922.59</v>
      </c>
      <c r="W30" s="10">
        <v>11</v>
      </c>
      <c r="X30" s="80">
        <v>860.48</v>
      </c>
      <c r="Y30" s="80">
        <v>506.33</v>
      </c>
      <c r="Z30" s="31"/>
      <c r="AA30" s="31"/>
      <c r="AB30" s="31"/>
      <c r="AC30" s="80">
        <f t="shared" si="10"/>
        <v>1964.8999999999996</v>
      </c>
      <c r="AD30" s="38">
        <f t="shared" si="11"/>
        <v>0</v>
      </c>
      <c r="AE30" s="87"/>
      <c r="AF30" s="38">
        <f>1677.8-1.8-1676</f>
        <v>0</v>
      </c>
      <c r="AG30" s="87">
        <f>231.3+1.8+1676-1.2+27.6+27.6+1.8</f>
        <v>1964.8999999999996</v>
      </c>
      <c r="AH30" s="33"/>
      <c r="AI30" s="87">
        <f t="shared" si="30"/>
        <v>9539.7099999999991</v>
      </c>
      <c r="AJ30" s="29"/>
      <c r="AK30" s="29"/>
      <c r="AL30" s="29">
        <v>6</v>
      </c>
      <c r="AM30" s="29"/>
      <c r="AN30" s="29"/>
      <c r="AO30" s="29">
        <v>2</v>
      </c>
      <c r="AP30" s="29">
        <v>6210</v>
      </c>
      <c r="AQ30" s="29">
        <v>1376</v>
      </c>
      <c r="AR30" s="29">
        <v>740</v>
      </c>
      <c r="AS30" s="29">
        <v>704</v>
      </c>
      <c r="AT30" s="29">
        <v>180</v>
      </c>
      <c r="AU30" s="29">
        <f t="shared" si="31"/>
        <v>5958</v>
      </c>
      <c r="AV30" s="29"/>
      <c r="AW30" s="29">
        <v>5958</v>
      </c>
      <c r="AX30" s="29"/>
      <c r="AY30" s="29">
        <v>189</v>
      </c>
      <c r="AZ30" s="29">
        <v>2732</v>
      </c>
      <c r="BA30" s="29">
        <v>2732</v>
      </c>
      <c r="BB30" s="29">
        <v>30</v>
      </c>
      <c r="BC30" s="29">
        <v>12</v>
      </c>
      <c r="BD30" s="29">
        <v>381</v>
      </c>
      <c r="BE30" s="29">
        <v>999</v>
      </c>
      <c r="BF30" s="29"/>
      <c r="BG30" s="29">
        <v>7781</v>
      </c>
      <c r="BH30" s="29">
        <v>228</v>
      </c>
      <c r="BI30" s="29"/>
      <c r="BJ30" s="98">
        <f t="shared" si="13"/>
        <v>1</v>
      </c>
      <c r="BK30" s="98">
        <f t="shared" si="14"/>
        <v>7574.81</v>
      </c>
      <c r="BL30" s="98">
        <f t="shared" si="15"/>
        <v>4428.92</v>
      </c>
      <c r="BM30" s="98" t="str">
        <f t="shared" si="16"/>
        <v>0</v>
      </c>
      <c r="BN30" s="98" t="str">
        <f t="shared" si="17"/>
        <v>0</v>
      </c>
      <c r="BO30" s="98" t="str">
        <f t="shared" si="18"/>
        <v>0</v>
      </c>
      <c r="BP30" s="98" t="str">
        <f t="shared" si="19"/>
        <v>0</v>
      </c>
      <c r="BQ30" s="98" t="str">
        <f t="shared" si="20"/>
        <v>0</v>
      </c>
      <c r="BR30" s="98" t="str">
        <f t="shared" si="21"/>
        <v>0</v>
      </c>
      <c r="BS30" s="29"/>
      <c r="BT30" s="29">
        <v>4</v>
      </c>
      <c r="BU30" s="29">
        <f t="shared" si="35"/>
        <v>2732</v>
      </c>
      <c r="BV30" s="29">
        <v>7554</v>
      </c>
      <c r="BW30" s="29"/>
      <c r="BX30" s="29">
        <f t="shared" si="36"/>
        <v>6210</v>
      </c>
      <c r="BY30" s="82">
        <v>864.5</v>
      </c>
      <c r="BZ30" s="82">
        <v>864.5</v>
      </c>
      <c r="CA30" s="4">
        <v>6788</v>
      </c>
      <c r="CB30" s="4">
        <f t="shared" si="1"/>
        <v>3876</v>
      </c>
      <c r="CC30" s="34" t="str">
        <f t="shared" si="33"/>
        <v>0</v>
      </c>
      <c r="CD30" s="35">
        <f t="shared" si="3"/>
        <v>0</v>
      </c>
      <c r="CE30" s="34">
        <f t="shared" si="4"/>
        <v>1</v>
      </c>
      <c r="CF30" s="35">
        <f t="shared" si="5"/>
        <v>5958</v>
      </c>
      <c r="CG30" s="35">
        <f t="shared" si="22"/>
        <v>1</v>
      </c>
      <c r="CH30" s="35">
        <f t="shared" si="23"/>
        <v>5958</v>
      </c>
      <c r="CI30" s="22">
        <v>36</v>
      </c>
      <c r="CJ30" s="217" t="str">
        <f t="shared" si="24"/>
        <v>0</v>
      </c>
      <c r="CK30" s="217" t="str">
        <f t="shared" si="25"/>
        <v>0</v>
      </c>
      <c r="CL30" s="218">
        <f t="shared" si="26"/>
        <v>11.35975687839035</v>
      </c>
      <c r="CM30" s="219" t="str">
        <f t="shared" si="27"/>
        <v>0</v>
      </c>
      <c r="CN30" s="219" t="str">
        <f t="shared" si="28"/>
        <v>0</v>
      </c>
      <c r="CO30" s="218">
        <f t="shared" si="29"/>
        <v>9.0199806912369471</v>
      </c>
      <c r="CP30" s="97">
        <v>1</v>
      </c>
      <c r="CQ30" s="97">
        <v>0</v>
      </c>
      <c r="CR30" s="97">
        <v>0</v>
      </c>
      <c r="CS30" s="97">
        <v>0</v>
      </c>
      <c r="CT30" s="97">
        <v>2</v>
      </c>
      <c r="CU30" s="97">
        <v>0</v>
      </c>
      <c r="CV30" s="97">
        <v>0</v>
      </c>
      <c r="CW30" s="97">
        <v>0</v>
      </c>
      <c r="CX30" s="97">
        <v>0</v>
      </c>
      <c r="CY30" s="94">
        <v>103</v>
      </c>
      <c r="CZ30" s="95">
        <v>95</v>
      </c>
      <c r="DA30" s="94">
        <v>8</v>
      </c>
      <c r="DB30" s="97">
        <v>83</v>
      </c>
      <c r="DC30" s="97">
        <v>29</v>
      </c>
      <c r="DD30" s="221">
        <v>156</v>
      </c>
      <c r="DE30" s="97">
        <v>37</v>
      </c>
      <c r="DF30" s="97">
        <v>29</v>
      </c>
      <c r="DG30" s="221">
        <v>156</v>
      </c>
      <c r="DH30" s="97">
        <v>41</v>
      </c>
      <c r="DI30" s="97">
        <v>7</v>
      </c>
      <c r="DJ30" s="97">
        <v>1</v>
      </c>
      <c r="DK30" s="94">
        <v>9</v>
      </c>
      <c r="DL30" s="97">
        <v>2</v>
      </c>
      <c r="DM30" s="97">
        <v>1</v>
      </c>
      <c r="DN30" s="94">
        <v>9</v>
      </c>
      <c r="DO30" s="97">
        <v>22</v>
      </c>
      <c r="DP30" s="92">
        <f t="shared" si="6"/>
        <v>103</v>
      </c>
      <c r="DQ30" s="97">
        <v>20</v>
      </c>
      <c r="DX30" s="105"/>
      <c r="DY30" s="104"/>
    </row>
    <row r="31" spans="1:129">
      <c r="A31" s="24" t="s">
        <v>92</v>
      </c>
      <c r="B31" s="25">
        <v>25</v>
      </c>
      <c r="C31" s="3" t="s">
        <v>84</v>
      </c>
      <c r="D31" s="26">
        <v>1954</v>
      </c>
      <c r="E31" s="27"/>
      <c r="F31" s="27" t="s">
        <v>29</v>
      </c>
      <c r="G31" s="28">
        <v>1</v>
      </c>
      <c r="H31" s="27">
        <v>5</v>
      </c>
      <c r="I31" s="27" t="s">
        <v>96</v>
      </c>
      <c r="J31" s="29">
        <v>51607</v>
      </c>
      <c r="K31" s="29">
        <v>2662</v>
      </c>
      <c r="L31" s="29">
        <v>3290</v>
      </c>
      <c r="M31" s="29">
        <v>0</v>
      </c>
      <c r="N31" s="29">
        <v>110</v>
      </c>
      <c r="O31" s="29">
        <v>243</v>
      </c>
      <c r="P31" s="29">
        <v>116</v>
      </c>
      <c r="Q31" s="6">
        <v>172</v>
      </c>
      <c r="R31" s="38">
        <v>7620.43</v>
      </c>
      <c r="S31" s="32">
        <v>4189.5</v>
      </c>
      <c r="T31" s="6">
        <f t="shared" si="7"/>
        <v>101</v>
      </c>
      <c r="U31" s="30">
        <f t="shared" si="8"/>
        <v>7062.43</v>
      </c>
      <c r="V31" s="30">
        <f t="shared" si="9"/>
        <v>3890.8</v>
      </c>
      <c r="W31" s="10">
        <v>9</v>
      </c>
      <c r="X31" s="80">
        <v>558</v>
      </c>
      <c r="Y31" s="80">
        <v>298.7</v>
      </c>
      <c r="Z31" s="31"/>
      <c r="AA31" s="31"/>
      <c r="AB31" s="31"/>
      <c r="AC31" s="80">
        <f t="shared" si="10"/>
        <v>2355.6000000000004</v>
      </c>
      <c r="AD31" s="87">
        <f t="shared" si="11"/>
        <v>1507.4</v>
      </c>
      <c r="AE31" s="87"/>
      <c r="AF31" s="87">
        <f>2116-226.1-382.5</f>
        <v>1507.4</v>
      </c>
      <c r="AG31" s="87">
        <f>239.6+226.1+382.5</f>
        <v>848.2</v>
      </c>
      <c r="AH31" s="33"/>
      <c r="AI31" s="87">
        <f t="shared" si="30"/>
        <v>9976.0300000000007</v>
      </c>
      <c r="AJ31" s="29"/>
      <c r="AK31" s="29"/>
      <c r="AL31" s="29">
        <v>6</v>
      </c>
      <c r="AM31" s="29"/>
      <c r="AN31" s="29"/>
      <c r="AO31" s="29">
        <v>2</v>
      </c>
      <c r="AP31" s="29">
        <v>6227</v>
      </c>
      <c r="AQ31" s="29">
        <v>1376</v>
      </c>
      <c r="AR31" s="29">
        <v>806</v>
      </c>
      <c r="AS31" s="29">
        <v>542</v>
      </c>
      <c r="AT31" s="29">
        <v>180</v>
      </c>
      <c r="AU31" s="29">
        <f t="shared" si="31"/>
        <v>5958</v>
      </c>
      <c r="AV31" s="29"/>
      <c r="AW31" s="29">
        <v>5958</v>
      </c>
      <c r="AX31" s="29"/>
      <c r="AY31" s="29">
        <v>199</v>
      </c>
      <c r="AZ31" s="29">
        <v>2197</v>
      </c>
      <c r="BA31" s="29">
        <v>2197</v>
      </c>
      <c r="BB31" s="29">
        <v>30</v>
      </c>
      <c r="BC31" s="29">
        <v>12</v>
      </c>
      <c r="BD31" s="29">
        <v>380</v>
      </c>
      <c r="BE31" s="29">
        <v>1106</v>
      </c>
      <c r="BF31" s="29"/>
      <c r="BG31" s="29">
        <v>7765</v>
      </c>
      <c r="BH31" s="29">
        <v>228</v>
      </c>
      <c r="BI31" s="29"/>
      <c r="BJ31" s="98">
        <f t="shared" si="13"/>
        <v>1</v>
      </c>
      <c r="BK31" s="98">
        <f t="shared" si="14"/>
        <v>7620.43</v>
      </c>
      <c r="BL31" s="98">
        <f t="shared" si="15"/>
        <v>4189.5</v>
      </c>
      <c r="BM31" s="98" t="str">
        <f t="shared" si="16"/>
        <v>0</v>
      </c>
      <c r="BN31" s="98" t="str">
        <f t="shared" si="17"/>
        <v>0</v>
      </c>
      <c r="BO31" s="98" t="str">
        <f t="shared" si="18"/>
        <v>0</v>
      </c>
      <c r="BP31" s="98" t="str">
        <f t="shared" si="19"/>
        <v>0</v>
      </c>
      <c r="BQ31" s="98" t="str">
        <f t="shared" si="20"/>
        <v>0</v>
      </c>
      <c r="BR31" s="98" t="str">
        <f t="shared" si="21"/>
        <v>0</v>
      </c>
      <c r="BS31" s="29"/>
      <c r="BT31" s="29">
        <v>5</v>
      </c>
      <c r="BU31" s="29">
        <f t="shared" si="35"/>
        <v>2197</v>
      </c>
      <c r="BV31" s="29">
        <v>7380</v>
      </c>
      <c r="BW31" s="29"/>
      <c r="BX31" s="29">
        <f t="shared" si="36"/>
        <v>6227</v>
      </c>
      <c r="BY31" s="82">
        <v>1051.3699999999999</v>
      </c>
      <c r="BZ31" s="82">
        <v>983.1</v>
      </c>
      <c r="CA31" s="4">
        <v>6582</v>
      </c>
      <c r="CB31" s="4">
        <f t="shared" si="1"/>
        <v>3920</v>
      </c>
      <c r="CC31" s="34" t="str">
        <f t="shared" si="33"/>
        <v>0</v>
      </c>
      <c r="CD31" s="35">
        <f t="shared" si="3"/>
        <v>0</v>
      </c>
      <c r="CE31" s="34">
        <f t="shared" si="4"/>
        <v>1</v>
      </c>
      <c r="CF31" s="35">
        <f t="shared" si="5"/>
        <v>5958</v>
      </c>
      <c r="CG31" s="35">
        <f t="shared" si="22"/>
        <v>1</v>
      </c>
      <c r="CH31" s="35">
        <f t="shared" si="23"/>
        <v>5958</v>
      </c>
      <c r="CI31" s="22">
        <v>57</v>
      </c>
      <c r="CJ31" s="217" t="str">
        <f t="shared" si="24"/>
        <v>0</v>
      </c>
      <c r="CK31" s="217" t="str">
        <f t="shared" si="25"/>
        <v>0</v>
      </c>
      <c r="CL31" s="218">
        <f t="shared" si="26"/>
        <v>7.3224214381603137</v>
      </c>
      <c r="CM31" s="219" t="str">
        <f t="shared" si="27"/>
        <v>0</v>
      </c>
      <c r="CN31" s="219" t="str">
        <f t="shared" si="28"/>
        <v>0</v>
      </c>
      <c r="CO31" s="218">
        <f t="shared" si="29"/>
        <v>20.703626592943284</v>
      </c>
      <c r="CP31" s="97">
        <v>1</v>
      </c>
      <c r="CQ31" s="97">
        <v>0</v>
      </c>
      <c r="CR31" s="97">
        <v>0</v>
      </c>
      <c r="CS31" s="97">
        <v>0</v>
      </c>
      <c r="CT31" s="97">
        <v>2</v>
      </c>
      <c r="CU31" s="97">
        <v>0</v>
      </c>
      <c r="CV31" s="97">
        <v>0</v>
      </c>
      <c r="CW31" s="97">
        <v>0</v>
      </c>
      <c r="CX31" s="97">
        <v>0</v>
      </c>
      <c r="CY31" s="94">
        <v>110</v>
      </c>
      <c r="CZ31" s="95">
        <v>101</v>
      </c>
      <c r="DA31" s="94">
        <v>9</v>
      </c>
      <c r="DB31" s="97">
        <v>98</v>
      </c>
      <c r="DC31" s="97">
        <v>33</v>
      </c>
      <c r="DD31" s="221">
        <v>151</v>
      </c>
      <c r="DE31" s="97">
        <v>37</v>
      </c>
      <c r="DF31" s="97">
        <v>33</v>
      </c>
      <c r="DG31" s="221">
        <v>151</v>
      </c>
      <c r="DH31" s="97">
        <v>43</v>
      </c>
      <c r="DI31" s="97">
        <v>7</v>
      </c>
      <c r="DJ31" s="97">
        <v>1</v>
      </c>
      <c r="DK31" s="94">
        <v>3</v>
      </c>
      <c r="DL31" s="97">
        <v>1</v>
      </c>
      <c r="DM31" s="97">
        <v>1</v>
      </c>
      <c r="DN31" s="94">
        <v>3</v>
      </c>
      <c r="DO31" s="97">
        <v>1</v>
      </c>
      <c r="DP31" s="92">
        <f t="shared" si="6"/>
        <v>110</v>
      </c>
      <c r="DQ31" s="97">
        <v>32</v>
      </c>
      <c r="DX31" s="105"/>
      <c r="DY31" s="104"/>
    </row>
    <row r="32" spans="1:129">
      <c r="A32" s="24" t="s">
        <v>92</v>
      </c>
      <c r="B32" s="25">
        <v>26</v>
      </c>
      <c r="C32" s="3" t="s">
        <v>85</v>
      </c>
      <c r="D32" s="26">
        <v>1956</v>
      </c>
      <c r="E32" s="27"/>
      <c r="F32" s="27" t="s">
        <v>29</v>
      </c>
      <c r="G32" s="28">
        <v>1</v>
      </c>
      <c r="H32" s="27">
        <v>6</v>
      </c>
      <c r="I32" s="27" t="s">
        <v>96</v>
      </c>
      <c r="J32" s="29">
        <v>56561</v>
      </c>
      <c r="K32" s="29">
        <v>3054</v>
      </c>
      <c r="L32" s="29">
        <v>3665</v>
      </c>
      <c r="M32" s="29"/>
      <c r="N32" s="29">
        <v>129</v>
      </c>
      <c r="O32" s="29">
        <v>325</v>
      </c>
      <c r="P32" s="29">
        <v>136</v>
      </c>
      <c r="Q32" s="6">
        <v>288</v>
      </c>
      <c r="R32" s="38">
        <v>9326.7000000000007</v>
      </c>
      <c r="S32" s="32">
        <v>5589.9</v>
      </c>
      <c r="T32" s="6">
        <f t="shared" si="7"/>
        <v>122</v>
      </c>
      <c r="U32" s="30">
        <f t="shared" si="8"/>
        <v>8885.1</v>
      </c>
      <c r="V32" s="30">
        <f t="shared" si="9"/>
        <v>5347.7</v>
      </c>
      <c r="W32" s="10">
        <v>7</v>
      </c>
      <c r="X32" s="80">
        <v>441.6</v>
      </c>
      <c r="Y32" s="80">
        <v>242.2</v>
      </c>
      <c r="Z32" s="31"/>
      <c r="AA32" s="31"/>
      <c r="AB32" s="31"/>
      <c r="AC32" s="80">
        <f t="shared" si="10"/>
        <v>1934.5</v>
      </c>
      <c r="AD32" s="38">
        <f t="shared" si="11"/>
        <v>1816.8</v>
      </c>
      <c r="AE32" s="87"/>
      <c r="AF32" s="38">
        <f>1786.04+34.6-3.76-0.08</f>
        <v>1816.8</v>
      </c>
      <c r="AG32" s="87">
        <f>118.6-0.9</f>
        <v>117.69999999999999</v>
      </c>
      <c r="AH32" s="33"/>
      <c r="AI32" s="87">
        <f t="shared" si="30"/>
        <v>11261.2</v>
      </c>
      <c r="AJ32" s="29"/>
      <c r="AK32" s="29"/>
      <c r="AL32" s="29">
        <v>8</v>
      </c>
      <c r="AM32" s="29"/>
      <c r="AN32" s="29"/>
      <c r="AO32" s="29">
        <v>2</v>
      </c>
      <c r="AP32" s="29">
        <v>9217</v>
      </c>
      <c r="AQ32" s="29">
        <v>1500</v>
      </c>
      <c r="AR32" s="29">
        <v>520</v>
      </c>
      <c r="AS32" s="29">
        <v>534</v>
      </c>
      <c r="AT32" s="29">
        <v>240</v>
      </c>
      <c r="AU32" s="29">
        <f t="shared" si="31"/>
        <v>9120</v>
      </c>
      <c r="AV32" s="29"/>
      <c r="AW32" s="29">
        <v>9120</v>
      </c>
      <c r="AX32" s="29"/>
      <c r="AY32" s="29">
        <v>205</v>
      </c>
      <c r="AZ32" s="29">
        <v>3029</v>
      </c>
      <c r="BA32" s="29">
        <v>3029</v>
      </c>
      <c r="BB32" s="29">
        <v>40</v>
      </c>
      <c r="BC32" s="29">
        <v>16</v>
      </c>
      <c r="BD32" s="29">
        <v>210</v>
      </c>
      <c r="BE32" s="29">
        <v>1262</v>
      </c>
      <c r="BF32" s="29"/>
      <c r="BG32" s="29">
        <v>9291</v>
      </c>
      <c r="BH32" s="29">
        <v>304</v>
      </c>
      <c r="BI32" s="29"/>
      <c r="BJ32" s="98">
        <f t="shared" si="13"/>
        <v>1</v>
      </c>
      <c r="BK32" s="98">
        <f t="shared" si="14"/>
        <v>9326.7000000000007</v>
      </c>
      <c r="BL32" s="98">
        <f t="shared" si="15"/>
        <v>5589.9</v>
      </c>
      <c r="BM32" s="98" t="str">
        <f t="shared" si="16"/>
        <v>0</v>
      </c>
      <c r="BN32" s="98" t="str">
        <f t="shared" si="17"/>
        <v>0</v>
      </c>
      <c r="BO32" s="98" t="str">
        <f t="shared" si="18"/>
        <v>0</v>
      </c>
      <c r="BP32" s="98" t="str">
        <f t="shared" si="19"/>
        <v>0</v>
      </c>
      <c r="BQ32" s="98" t="str">
        <f t="shared" si="20"/>
        <v>0</v>
      </c>
      <c r="BR32" s="98" t="str">
        <f t="shared" si="21"/>
        <v>0</v>
      </c>
      <c r="BS32" s="29"/>
      <c r="BT32" s="29">
        <v>5</v>
      </c>
      <c r="BU32" s="29">
        <f t="shared" si="35"/>
        <v>3029</v>
      </c>
      <c r="BV32" s="29">
        <v>9582</v>
      </c>
      <c r="BW32" s="29"/>
      <c r="BX32" s="29">
        <f t="shared" si="36"/>
        <v>9217</v>
      </c>
      <c r="BY32" s="82">
        <v>1108.5</v>
      </c>
      <c r="BZ32" s="82">
        <v>1061</v>
      </c>
      <c r="CA32" s="4">
        <v>7807</v>
      </c>
      <c r="CB32" s="4">
        <f t="shared" si="1"/>
        <v>4753</v>
      </c>
      <c r="CC32" s="34" t="str">
        <f t="shared" si="33"/>
        <v>0</v>
      </c>
      <c r="CD32" s="35">
        <f t="shared" si="3"/>
        <v>0</v>
      </c>
      <c r="CE32" s="34">
        <f t="shared" si="4"/>
        <v>1</v>
      </c>
      <c r="CF32" s="35">
        <f t="shared" si="5"/>
        <v>9120</v>
      </c>
      <c r="CG32" s="35">
        <f t="shared" si="22"/>
        <v>1</v>
      </c>
      <c r="CH32" s="35">
        <f t="shared" si="23"/>
        <v>9120</v>
      </c>
      <c r="CI32" s="22">
        <v>53</v>
      </c>
      <c r="CJ32" s="217" t="str">
        <f t="shared" si="24"/>
        <v>0</v>
      </c>
      <c r="CK32" s="217" t="str">
        <f t="shared" si="25"/>
        <v>0</v>
      </c>
      <c r="CL32" s="218">
        <f t="shared" si="26"/>
        <v>4.7347936569204538</v>
      </c>
      <c r="CM32" s="219" t="str">
        <f t="shared" si="27"/>
        <v>0</v>
      </c>
      <c r="CN32" s="219" t="str">
        <f t="shared" si="28"/>
        <v>0</v>
      </c>
      <c r="CO32" s="218">
        <f t="shared" si="29"/>
        <v>20.054701097573972</v>
      </c>
      <c r="CP32" s="97">
        <v>1</v>
      </c>
      <c r="CQ32" s="97">
        <v>0</v>
      </c>
      <c r="CR32" s="97">
        <v>0</v>
      </c>
      <c r="CS32" s="97">
        <v>0</v>
      </c>
      <c r="CT32" s="97">
        <v>4</v>
      </c>
      <c r="CU32" s="97">
        <v>0</v>
      </c>
      <c r="CV32" s="97">
        <v>0</v>
      </c>
      <c r="CW32" s="97">
        <v>0</v>
      </c>
      <c r="CX32" s="97">
        <v>0</v>
      </c>
      <c r="CY32" s="94">
        <v>129</v>
      </c>
      <c r="CZ32" s="95">
        <v>123</v>
      </c>
      <c r="DA32" s="94">
        <v>6</v>
      </c>
      <c r="DB32" s="97">
        <v>114</v>
      </c>
      <c r="DC32" s="97">
        <v>46</v>
      </c>
      <c r="DD32" s="221">
        <v>180</v>
      </c>
      <c r="DE32" s="97">
        <v>47</v>
      </c>
      <c r="DF32" s="97">
        <v>46</v>
      </c>
      <c r="DG32" s="221">
        <v>180</v>
      </c>
      <c r="DH32" s="97">
        <v>47</v>
      </c>
      <c r="DI32" s="97">
        <v>5</v>
      </c>
      <c r="DJ32" s="97">
        <v>4</v>
      </c>
      <c r="DK32" s="94">
        <v>9</v>
      </c>
      <c r="DL32" s="97">
        <v>4</v>
      </c>
      <c r="DM32" s="97">
        <v>4</v>
      </c>
      <c r="DN32" s="94">
        <v>9</v>
      </c>
      <c r="DO32" s="97">
        <v>4</v>
      </c>
      <c r="DP32" s="92">
        <f t="shared" si="6"/>
        <v>129</v>
      </c>
      <c r="DQ32" s="97">
        <v>40</v>
      </c>
      <c r="DX32" s="105"/>
      <c r="DY32" s="104"/>
    </row>
    <row r="33" spans="1:129">
      <c r="A33" s="24" t="s">
        <v>92</v>
      </c>
      <c r="B33" s="25">
        <v>27</v>
      </c>
      <c r="C33" s="3" t="s">
        <v>86</v>
      </c>
      <c r="D33" s="26">
        <v>1957</v>
      </c>
      <c r="E33" s="27"/>
      <c r="F33" s="27" t="s">
        <v>29</v>
      </c>
      <c r="G33" s="28">
        <v>1</v>
      </c>
      <c r="H33" s="27">
        <v>5</v>
      </c>
      <c r="I33" s="27" t="s">
        <v>96</v>
      </c>
      <c r="J33" s="29">
        <v>69591</v>
      </c>
      <c r="K33" s="29">
        <v>4092</v>
      </c>
      <c r="L33" s="29">
        <v>4789</v>
      </c>
      <c r="M33" s="29"/>
      <c r="N33" s="29">
        <f>180+1</f>
        <v>181</v>
      </c>
      <c r="O33" s="29">
        <f>435+1</f>
        <v>436</v>
      </c>
      <c r="P33" s="29">
        <v>191</v>
      </c>
      <c r="Q33" s="6">
        <v>311</v>
      </c>
      <c r="R33" s="38">
        <f>12314.66+61</f>
        <v>12375.66</v>
      </c>
      <c r="S33" s="32">
        <f>7267.87+24</f>
        <v>7291.87</v>
      </c>
      <c r="T33" s="6">
        <f t="shared" si="7"/>
        <v>169</v>
      </c>
      <c r="U33" s="30">
        <f t="shared" si="8"/>
        <v>11590.66</v>
      </c>
      <c r="V33" s="30">
        <f t="shared" si="9"/>
        <v>6849.07</v>
      </c>
      <c r="W33" s="10">
        <v>12</v>
      </c>
      <c r="X33" s="80">
        <v>785</v>
      </c>
      <c r="Y33" s="80">
        <v>442.8</v>
      </c>
      <c r="Z33" s="31"/>
      <c r="AA33" s="31"/>
      <c r="AB33" s="31"/>
      <c r="AC33" s="80">
        <f t="shared" si="10"/>
        <v>2017.2999999999997</v>
      </c>
      <c r="AD33" s="38">
        <f t="shared" si="11"/>
        <v>62.599999999999966</v>
      </c>
      <c r="AE33" s="87"/>
      <c r="AF33" s="38">
        <f>188.5+99.4-225.3</f>
        <v>62.599999999999966</v>
      </c>
      <c r="AG33" s="87">
        <f>1903.6-99.4+225.3-61-13.8</f>
        <v>1954.6999999999998</v>
      </c>
      <c r="AH33" s="33"/>
      <c r="AI33" s="87">
        <f t="shared" si="30"/>
        <v>14392.96</v>
      </c>
      <c r="AJ33" s="29"/>
      <c r="AK33" s="29"/>
      <c r="AL33" s="29">
        <v>11</v>
      </c>
      <c r="AM33" s="29"/>
      <c r="AN33" s="29"/>
      <c r="AO33" s="29">
        <v>2</v>
      </c>
      <c r="AP33" s="29">
        <v>9236</v>
      </c>
      <c r="AQ33" s="29">
        <v>1500</v>
      </c>
      <c r="AR33" s="29">
        <v>607</v>
      </c>
      <c r="AS33" s="29">
        <v>535</v>
      </c>
      <c r="AT33" s="29">
        <v>330</v>
      </c>
      <c r="AU33" s="29">
        <f t="shared" si="31"/>
        <v>10826</v>
      </c>
      <c r="AV33" s="29"/>
      <c r="AW33" s="29">
        <f>10923-30-30-37</f>
        <v>10826</v>
      </c>
      <c r="AX33" s="29"/>
      <c r="AY33" s="29">
        <v>263</v>
      </c>
      <c r="AZ33" s="29">
        <v>3990</v>
      </c>
      <c r="BA33" s="29">
        <v>3990</v>
      </c>
      <c r="BB33" s="29">
        <v>55</v>
      </c>
      <c r="BC33" s="29">
        <v>22</v>
      </c>
      <c r="BD33" s="29">
        <f>647-3-3-4</f>
        <v>637</v>
      </c>
      <c r="BE33" s="29">
        <f>1793-3</f>
        <v>1790</v>
      </c>
      <c r="BF33" s="29"/>
      <c r="BG33" s="29">
        <f>12452-120-120-150</f>
        <v>12062</v>
      </c>
      <c r="BH33" s="29">
        <v>418</v>
      </c>
      <c r="BI33" s="29"/>
      <c r="BJ33" s="98">
        <f t="shared" si="13"/>
        <v>1</v>
      </c>
      <c r="BK33" s="98">
        <f t="shared" si="14"/>
        <v>12375.66</v>
      </c>
      <c r="BL33" s="98">
        <f t="shared" si="15"/>
        <v>7291.87</v>
      </c>
      <c r="BM33" s="98" t="str">
        <f t="shared" si="16"/>
        <v>0</v>
      </c>
      <c r="BN33" s="98" t="str">
        <f t="shared" si="17"/>
        <v>0</v>
      </c>
      <c r="BO33" s="98" t="str">
        <f t="shared" si="18"/>
        <v>0</v>
      </c>
      <c r="BP33" s="98" t="str">
        <f t="shared" si="19"/>
        <v>0</v>
      </c>
      <c r="BQ33" s="98" t="str">
        <f t="shared" si="20"/>
        <v>0</v>
      </c>
      <c r="BR33" s="98" t="str">
        <f t="shared" si="21"/>
        <v>0</v>
      </c>
      <c r="BS33" s="29"/>
      <c r="BT33" s="29">
        <v>7</v>
      </c>
      <c r="BU33" s="29">
        <f t="shared" si="35"/>
        <v>3990</v>
      </c>
      <c r="BV33" s="29">
        <v>10510</v>
      </c>
      <c r="BW33" s="29"/>
      <c r="BX33" s="29">
        <f t="shared" si="36"/>
        <v>9236</v>
      </c>
      <c r="BY33" s="82">
        <v>1350.5000000000002</v>
      </c>
      <c r="BZ33" s="82">
        <v>1317.5</v>
      </c>
      <c r="CA33" s="4">
        <v>10875</v>
      </c>
      <c r="CB33" s="4">
        <f t="shared" si="1"/>
        <v>6783</v>
      </c>
      <c r="CC33" s="34" t="str">
        <f t="shared" si="33"/>
        <v>0</v>
      </c>
      <c r="CD33" s="35">
        <f t="shared" si="3"/>
        <v>0</v>
      </c>
      <c r="CE33" s="34">
        <f t="shared" si="4"/>
        <v>1</v>
      </c>
      <c r="CF33" s="35">
        <f t="shared" si="5"/>
        <v>10826</v>
      </c>
      <c r="CG33" s="35">
        <f t="shared" si="22"/>
        <v>1</v>
      </c>
      <c r="CH33" s="35">
        <f t="shared" si="23"/>
        <v>10826</v>
      </c>
      <c r="CI33" s="22">
        <v>55</v>
      </c>
      <c r="CJ33" s="217" t="str">
        <f t="shared" si="24"/>
        <v>0</v>
      </c>
      <c r="CK33" s="217" t="str">
        <f t="shared" si="25"/>
        <v>0</v>
      </c>
      <c r="CL33" s="218">
        <f t="shared" si="26"/>
        <v>6.343096044978612</v>
      </c>
      <c r="CM33" s="219" t="str">
        <f t="shared" si="27"/>
        <v>0</v>
      </c>
      <c r="CN33" s="219" t="str">
        <f t="shared" si="28"/>
        <v>0</v>
      </c>
      <c r="CO33" s="218">
        <f t="shared" si="29"/>
        <v>5.8889901729734531</v>
      </c>
      <c r="CP33" s="97">
        <v>1</v>
      </c>
      <c r="CQ33" s="97">
        <v>0</v>
      </c>
      <c r="CR33" s="97">
        <v>0</v>
      </c>
      <c r="CS33" s="97">
        <v>0</v>
      </c>
      <c r="CT33" s="97">
        <v>5</v>
      </c>
      <c r="CU33" s="97">
        <v>0</v>
      </c>
      <c r="CV33" s="97">
        <v>0</v>
      </c>
      <c r="CW33" s="97">
        <v>0</v>
      </c>
      <c r="CX33" s="97">
        <v>0</v>
      </c>
      <c r="CY33" s="94">
        <v>180</v>
      </c>
      <c r="CZ33" s="95">
        <v>165</v>
      </c>
      <c r="DA33" s="94">
        <v>15</v>
      </c>
      <c r="DB33" s="97">
        <v>150</v>
      </c>
      <c r="DC33" s="97">
        <v>54</v>
      </c>
      <c r="DD33" s="221">
        <v>241</v>
      </c>
      <c r="DE33" s="97">
        <v>61</v>
      </c>
      <c r="DF33" s="97">
        <v>54</v>
      </c>
      <c r="DG33" s="221">
        <v>241</v>
      </c>
      <c r="DH33" s="97">
        <v>64</v>
      </c>
      <c r="DI33" s="97">
        <v>14</v>
      </c>
      <c r="DJ33" s="97">
        <v>4</v>
      </c>
      <c r="DK33" s="94">
        <v>10</v>
      </c>
      <c r="DL33" s="97">
        <v>4</v>
      </c>
      <c r="DM33" s="97">
        <v>4</v>
      </c>
      <c r="DN33" s="94">
        <v>10</v>
      </c>
      <c r="DO33" s="97">
        <v>4</v>
      </c>
      <c r="DP33" s="92">
        <f t="shared" si="6"/>
        <v>180</v>
      </c>
      <c r="DQ33" s="97">
        <v>28</v>
      </c>
      <c r="DX33" s="105"/>
      <c r="DY33" s="104"/>
    </row>
    <row r="34" spans="1:129">
      <c r="A34" s="24" t="s">
        <v>92</v>
      </c>
      <c r="B34" s="25">
        <v>28</v>
      </c>
      <c r="C34" s="3" t="s">
        <v>87</v>
      </c>
      <c r="D34" s="26">
        <v>1956</v>
      </c>
      <c r="E34" s="27"/>
      <c r="F34" s="27" t="s">
        <v>29</v>
      </c>
      <c r="G34" s="28">
        <v>1</v>
      </c>
      <c r="H34" s="27">
        <v>5</v>
      </c>
      <c r="I34" s="27" t="s">
        <v>96</v>
      </c>
      <c r="J34" s="29">
        <v>12150</v>
      </c>
      <c r="K34" s="29">
        <v>748</v>
      </c>
      <c r="L34" s="29">
        <v>900</v>
      </c>
      <c r="M34" s="29"/>
      <c r="N34" s="29">
        <v>32</v>
      </c>
      <c r="O34" s="29">
        <v>80</v>
      </c>
      <c r="P34" s="29">
        <v>34</v>
      </c>
      <c r="Q34" s="6">
        <v>68</v>
      </c>
      <c r="R34" s="38">
        <v>2096</v>
      </c>
      <c r="S34" s="32">
        <v>1283.3</v>
      </c>
      <c r="T34" s="6">
        <f t="shared" si="7"/>
        <v>30</v>
      </c>
      <c r="U34" s="30">
        <f t="shared" si="8"/>
        <v>1947.2</v>
      </c>
      <c r="V34" s="30">
        <f t="shared" si="9"/>
        <v>1186.5999999999999</v>
      </c>
      <c r="W34" s="10">
        <v>2</v>
      </c>
      <c r="X34" s="80">
        <v>148.80000000000001</v>
      </c>
      <c r="Y34" s="80">
        <v>96.7</v>
      </c>
      <c r="Z34" s="31"/>
      <c r="AA34" s="31"/>
      <c r="AB34" s="31"/>
      <c r="AC34" s="80">
        <f t="shared" si="10"/>
        <v>530.1</v>
      </c>
      <c r="AD34" s="88">
        <f t="shared" si="11"/>
        <v>0</v>
      </c>
      <c r="AE34" s="87"/>
      <c r="AF34" s="88"/>
      <c r="AG34" s="87">
        <f>530.1-530.1</f>
        <v>0</v>
      </c>
      <c r="AH34" s="33">
        <f>530.1</f>
        <v>530.1</v>
      </c>
      <c r="AI34" s="87">
        <f t="shared" si="30"/>
        <v>2626.1</v>
      </c>
      <c r="AJ34" s="29"/>
      <c r="AK34" s="29"/>
      <c r="AL34" s="29">
        <v>2</v>
      </c>
      <c r="AM34" s="29"/>
      <c r="AN34" s="29"/>
      <c r="AO34" s="29">
        <v>1</v>
      </c>
      <c r="AP34" s="29">
        <v>2146</v>
      </c>
      <c r="AQ34" s="29">
        <v>585</v>
      </c>
      <c r="AR34" s="29">
        <v>192</v>
      </c>
      <c r="AS34" s="29">
        <v>125</v>
      </c>
      <c r="AT34" s="29">
        <v>60</v>
      </c>
      <c r="AU34" s="29">
        <f t="shared" si="31"/>
        <v>1986</v>
      </c>
      <c r="AV34" s="29"/>
      <c r="AW34" s="29">
        <v>1986</v>
      </c>
      <c r="AX34" s="29"/>
      <c r="AY34" s="29">
        <v>46</v>
      </c>
      <c r="AZ34" s="29">
        <v>730</v>
      </c>
      <c r="BA34" s="29">
        <v>730</v>
      </c>
      <c r="BB34" s="29">
        <v>10</v>
      </c>
      <c r="BC34" s="29">
        <v>4</v>
      </c>
      <c r="BD34" s="29">
        <v>112</v>
      </c>
      <c r="BE34" s="29">
        <v>304</v>
      </c>
      <c r="BF34" s="29"/>
      <c r="BG34" s="29">
        <v>2304</v>
      </c>
      <c r="BH34" s="29">
        <v>76</v>
      </c>
      <c r="BI34" s="29"/>
      <c r="BJ34" s="98">
        <f t="shared" si="13"/>
        <v>1</v>
      </c>
      <c r="BK34" s="98">
        <f t="shared" si="14"/>
        <v>2096</v>
      </c>
      <c r="BL34" s="98">
        <f t="shared" si="15"/>
        <v>1283.3</v>
      </c>
      <c r="BM34" s="98" t="str">
        <f t="shared" si="16"/>
        <v>0</v>
      </c>
      <c r="BN34" s="98" t="str">
        <f t="shared" si="17"/>
        <v>0</v>
      </c>
      <c r="BO34" s="98" t="str">
        <f t="shared" si="18"/>
        <v>0</v>
      </c>
      <c r="BP34" s="98" t="str">
        <f t="shared" si="19"/>
        <v>0</v>
      </c>
      <c r="BQ34" s="98" t="str">
        <f t="shared" si="20"/>
        <v>0</v>
      </c>
      <c r="BR34" s="98" t="str">
        <f t="shared" si="21"/>
        <v>0</v>
      </c>
      <c r="BS34" s="29"/>
      <c r="BT34" s="29">
        <v>1</v>
      </c>
      <c r="BU34" s="29">
        <f t="shared" si="35"/>
        <v>730</v>
      </c>
      <c r="BV34" s="29">
        <v>2620</v>
      </c>
      <c r="BW34" s="29"/>
      <c r="BX34" s="29">
        <f t="shared" si="36"/>
        <v>2146</v>
      </c>
      <c r="BY34" s="82">
        <v>229.19999999999996</v>
      </c>
      <c r="BZ34" s="82">
        <v>221.1</v>
      </c>
      <c r="CA34" s="4">
        <v>1769</v>
      </c>
      <c r="CB34" s="4">
        <f t="shared" si="1"/>
        <v>1021</v>
      </c>
      <c r="CC34" s="34" t="str">
        <f t="shared" si="33"/>
        <v>0</v>
      </c>
      <c r="CD34" s="35">
        <f t="shared" si="3"/>
        <v>0</v>
      </c>
      <c r="CE34" s="34">
        <f t="shared" si="4"/>
        <v>1</v>
      </c>
      <c r="CF34" s="35">
        <f t="shared" si="5"/>
        <v>1986</v>
      </c>
      <c r="CG34" s="35">
        <f t="shared" si="22"/>
        <v>1</v>
      </c>
      <c r="CH34" s="35">
        <f t="shared" si="23"/>
        <v>1986</v>
      </c>
      <c r="CI34" s="22">
        <v>55</v>
      </c>
      <c r="CJ34" s="217" t="str">
        <f t="shared" si="24"/>
        <v>0</v>
      </c>
      <c r="CK34" s="217" t="str">
        <f t="shared" si="25"/>
        <v>0</v>
      </c>
      <c r="CL34" s="218">
        <f t="shared" si="26"/>
        <v>7.099236641221375</v>
      </c>
      <c r="CM34" s="219" t="str">
        <f t="shared" si="27"/>
        <v>0</v>
      </c>
      <c r="CN34" s="219" t="str">
        <f t="shared" si="28"/>
        <v>0</v>
      </c>
      <c r="CO34" s="218">
        <f t="shared" si="29"/>
        <v>5.6661970222002216</v>
      </c>
      <c r="CP34" s="97">
        <v>1</v>
      </c>
      <c r="CQ34" s="97">
        <v>0</v>
      </c>
      <c r="CR34" s="97">
        <v>0</v>
      </c>
      <c r="CS34" s="97">
        <v>0</v>
      </c>
      <c r="CT34" s="97">
        <v>1</v>
      </c>
      <c r="CU34" s="97">
        <v>0</v>
      </c>
      <c r="CV34" s="97">
        <v>0</v>
      </c>
      <c r="CW34" s="97">
        <v>0</v>
      </c>
      <c r="CX34" s="97">
        <v>0</v>
      </c>
      <c r="CY34" s="94">
        <v>32</v>
      </c>
      <c r="CZ34" s="95">
        <v>32</v>
      </c>
      <c r="DA34" s="94">
        <v>0</v>
      </c>
      <c r="DB34" s="97">
        <v>31</v>
      </c>
      <c r="DC34" s="97">
        <v>15</v>
      </c>
      <c r="DD34" s="221">
        <v>50</v>
      </c>
      <c r="DE34" s="97">
        <v>15</v>
      </c>
      <c r="DF34" s="97">
        <v>15</v>
      </c>
      <c r="DG34" s="221">
        <v>50</v>
      </c>
      <c r="DH34" s="97">
        <v>15</v>
      </c>
      <c r="DI34" s="97">
        <v>0</v>
      </c>
      <c r="DJ34" s="97">
        <v>0</v>
      </c>
      <c r="DK34" s="94">
        <v>0</v>
      </c>
      <c r="DL34" s="97">
        <v>0</v>
      </c>
      <c r="DM34" s="97">
        <v>0</v>
      </c>
      <c r="DN34" s="94">
        <v>0</v>
      </c>
      <c r="DO34" s="97">
        <v>0</v>
      </c>
      <c r="DP34" s="92">
        <f t="shared" si="6"/>
        <v>32</v>
      </c>
      <c r="DQ34" s="97">
        <v>31</v>
      </c>
      <c r="DX34" s="105"/>
      <c r="DY34" s="104"/>
    </row>
    <row r="35" spans="1:129">
      <c r="A35" s="24" t="s">
        <v>92</v>
      </c>
      <c r="B35" s="25">
        <v>29</v>
      </c>
      <c r="C35" s="3" t="s">
        <v>88</v>
      </c>
      <c r="D35" s="26">
        <v>1957</v>
      </c>
      <c r="E35" s="27"/>
      <c r="F35" s="27" t="s">
        <v>29</v>
      </c>
      <c r="G35" s="28">
        <v>1</v>
      </c>
      <c r="H35" s="27">
        <v>5</v>
      </c>
      <c r="I35" s="27" t="s">
        <v>96</v>
      </c>
      <c r="J35" s="29">
        <v>18888</v>
      </c>
      <c r="K35" s="29">
        <v>4157</v>
      </c>
      <c r="L35" s="29">
        <v>4914</v>
      </c>
      <c r="M35" s="29"/>
      <c r="N35" s="29">
        <f>192-1</f>
        <v>191</v>
      </c>
      <c r="O35" s="29">
        <f>464-3</f>
        <v>461</v>
      </c>
      <c r="P35" s="29">
        <v>220</v>
      </c>
      <c r="Q35" s="6">
        <v>380</v>
      </c>
      <c r="R35" s="38">
        <f>12900.5-113.8</f>
        <v>12786.7</v>
      </c>
      <c r="S35" s="32">
        <v>7606.3</v>
      </c>
      <c r="T35" s="6">
        <f t="shared" si="7"/>
        <v>183</v>
      </c>
      <c r="U35" s="30">
        <f t="shared" si="8"/>
        <v>12302.1</v>
      </c>
      <c r="V35" s="30">
        <f t="shared" si="9"/>
        <v>7276.4000000000005</v>
      </c>
      <c r="W35" s="10">
        <v>8</v>
      </c>
      <c r="X35" s="80">
        <v>484.6</v>
      </c>
      <c r="Y35" s="80">
        <v>329.9</v>
      </c>
      <c r="Z35" s="31"/>
      <c r="AA35" s="31"/>
      <c r="AB35" s="31"/>
      <c r="AC35" s="80">
        <f t="shared" si="10"/>
        <v>2212</v>
      </c>
      <c r="AD35" s="38">
        <f t="shared" si="11"/>
        <v>1052.4000000000001</v>
      </c>
      <c r="AE35" s="87"/>
      <c r="AF35" s="38">
        <f>1599.6-46.6-500.6</f>
        <v>1052.4000000000001</v>
      </c>
      <c r="AG35" s="87">
        <f>498.6+113.8+46.6+500.6</f>
        <v>1159.5999999999999</v>
      </c>
      <c r="AH35" s="33"/>
      <c r="AI35" s="87">
        <f t="shared" si="30"/>
        <v>14998.7</v>
      </c>
      <c r="AJ35" s="29"/>
      <c r="AK35" s="29"/>
      <c r="AL35" s="29">
        <v>11</v>
      </c>
      <c r="AM35" s="29"/>
      <c r="AN35" s="29"/>
      <c r="AO35" s="29">
        <v>4</v>
      </c>
      <c r="AP35" s="29">
        <v>9971</v>
      </c>
      <c r="AQ35" s="29">
        <v>585</v>
      </c>
      <c r="AR35" s="29">
        <v>845</v>
      </c>
      <c r="AS35" s="29">
        <v>694</v>
      </c>
      <c r="AT35" s="29">
        <v>330</v>
      </c>
      <c r="AU35" s="29">
        <f t="shared" si="31"/>
        <v>10923</v>
      </c>
      <c r="AV35" s="29"/>
      <c r="AW35" s="29">
        <v>10923</v>
      </c>
      <c r="AX35" s="29"/>
      <c r="AY35" s="29">
        <v>249</v>
      </c>
      <c r="AZ35" s="29">
        <v>3895</v>
      </c>
      <c r="BA35" s="29">
        <v>3895</v>
      </c>
      <c r="BB35" s="29">
        <v>55</v>
      </c>
      <c r="BC35" s="29">
        <v>22</v>
      </c>
      <c r="BD35" s="29">
        <v>686</v>
      </c>
      <c r="BE35" s="29">
        <v>1886</v>
      </c>
      <c r="BF35" s="29"/>
      <c r="BG35" s="29">
        <v>13595</v>
      </c>
      <c r="BH35" s="29">
        <v>418</v>
      </c>
      <c r="BI35" s="29"/>
      <c r="BJ35" s="98">
        <f t="shared" si="13"/>
        <v>1</v>
      </c>
      <c r="BK35" s="98">
        <f t="shared" si="14"/>
        <v>12786.7</v>
      </c>
      <c r="BL35" s="98">
        <f t="shared" si="15"/>
        <v>7606.3</v>
      </c>
      <c r="BM35" s="98" t="str">
        <f t="shared" si="16"/>
        <v>0</v>
      </c>
      <c r="BN35" s="98" t="str">
        <f t="shared" si="17"/>
        <v>0</v>
      </c>
      <c r="BO35" s="98" t="str">
        <f t="shared" si="18"/>
        <v>0</v>
      </c>
      <c r="BP35" s="98" t="str">
        <f t="shared" si="19"/>
        <v>0</v>
      </c>
      <c r="BQ35" s="98" t="str">
        <f t="shared" si="20"/>
        <v>0</v>
      </c>
      <c r="BR35" s="98" t="str">
        <f t="shared" si="21"/>
        <v>0</v>
      </c>
      <c r="BS35" s="29"/>
      <c r="BT35" s="29">
        <v>7</v>
      </c>
      <c r="BU35" s="29">
        <f t="shared" si="35"/>
        <v>3895</v>
      </c>
      <c r="BV35" s="29">
        <v>10860</v>
      </c>
      <c r="BW35" s="29"/>
      <c r="BX35" s="29">
        <f t="shared" si="36"/>
        <v>9971</v>
      </c>
      <c r="BY35" s="82">
        <v>1427.8</v>
      </c>
      <c r="BZ35" s="82">
        <v>1335.5</v>
      </c>
      <c r="CA35" s="4">
        <v>11228</v>
      </c>
      <c r="CB35" s="4">
        <f t="shared" si="1"/>
        <v>7071</v>
      </c>
      <c r="CC35" s="34" t="str">
        <f t="shared" si="33"/>
        <v>0</v>
      </c>
      <c r="CD35" s="35">
        <f t="shared" si="3"/>
        <v>0</v>
      </c>
      <c r="CE35" s="34">
        <f t="shared" si="4"/>
        <v>1</v>
      </c>
      <c r="CF35" s="35">
        <f t="shared" si="5"/>
        <v>10923</v>
      </c>
      <c r="CG35" s="35">
        <f t="shared" si="22"/>
        <v>1</v>
      </c>
      <c r="CH35" s="35">
        <f t="shared" si="23"/>
        <v>10923</v>
      </c>
      <c r="CI35" s="22">
        <v>42</v>
      </c>
      <c r="CJ35" s="217" t="str">
        <f t="shared" si="24"/>
        <v>0</v>
      </c>
      <c r="CK35" s="217" t="str">
        <f t="shared" si="25"/>
        <v>0</v>
      </c>
      <c r="CL35" s="218">
        <f t="shared" si="26"/>
        <v>3.789875417425919</v>
      </c>
      <c r="CM35" s="219" t="str">
        <f t="shared" si="27"/>
        <v>0</v>
      </c>
      <c r="CN35" s="219" t="str">
        <f t="shared" si="28"/>
        <v>0</v>
      </c>
      <c r="CO35" s="218">
        <f t="shared" si="29"/>
        <v>10.247554788081633</v>
      </c>
      <c r="CP35" s="97">
        <v>1</v>
      </c>
      <c r="CQ35" s="97">
        <v>0</v>
      </c>
      <c r="CR35" s="97">
        <v>0</v>
      </c>
      <c r="CS35" s="97">
        <v>0</v>
      </c>
      <c r="CT35" s="97">
        <v>6</v>
      </c>
      <c r="CU35" s="97">
        <v>0</v>
      </c>
      <c r="CV35" s="97">
        <v>0</v>
      </c>
      <c r="CW35" s="97">
        <v>0</v>
      </c>
      <c r="CX35" s="97">
        <v>0</v>
      </c>
      <c r="CY35" s="94">
        <v>191</v>
      </c>
      <c r="CZ35" s="95">
        <v>183</v>
      </c>
      <c r="DA35" s="94">
        <v>8</v>
      </c>
      <c r="DB35" s="97">
        <v>168</v>
      </c>
      <c r="DC35" s="97">
        <v>58</v>
      </c>
      <c r="DD35" s="221">
        <v>277</v>
      </c>
      <c r="DE35" s="97">
        <v>59</v>
      </c>
      <c r="DF35" s="97">
        <v>58</v>
      </c>
      <c r="DG35" s="221">
        <v>277</v>
      </c>
      <c r="DH35" s="97">
        <v>59</v>
      </c>
      <c r="DI35" s="97">
        <v>6</v>
      </c>
      <c r="DJ35" s="97">
        <v>0</v>
      </c>
      <c r="DK35" s="94">
        <v>5</v>
      </c>
      <c r="DL35" s="97">
        <v>0</v>
      </c>
      <c r="DM35" s="97">
        <v>0</v>
      </c>
      <c r="DN35" s="94">
        <v>5</v>
      </c>
      <c r="DO35" s="97">
        <v>0</v>
      </c>
      <c r="DP35" s="92">
        <f t="shared" si="6"/>
        <v>191</v>
      </c>
      <c r="DQ35" s="97">
        <v>29</v>
      </c>
      <c r="DX35" s="105"/>
      <c r="DY35" s="104"/>
    </row>
    <row r="36" spans="1:129">
      <c r="A36" s="24" t="s">
        <v>92</v>
      </c>
      <c r="B36" s="25">
        <v>30</v>
      </c>
      <c r="C36" s="3" t="s">
        <v>172</v>
      </c>
      <c r="D36" s="26">
        <v>1983</v>
      </c>
      <c r="E36" s="27"/>
      <c r="F36" s="27" t="s">
        <v>28</v>
      </c>
      <c r="G36" s="28">
        <v>1</v>
      </c>
      <c r="H36" s="27">
        <v>9</v>
      </c>
      <c r="I36" s="27" t="s">
        <v>95</v>
      </c>
      <c r="J36" s="29">
        <f>19283+13445+19376</f>
        <v>52104</v>
      </c>
      <c r="K36" s="29">
        <f>743+558+748</f>
        <v>2049</v>
      </c>
      <c r="L36" s="29"/>
      <c r="M36" s="29">
        <f>700+510+705</f>
        <v>1915</v>
      </c>
      <c r="N36" s="29">
        <f>192+1</f>
        <v>193</v>
      </c>
      <c r="O36" s="29">
        <f>459+3</f>
        <v>462</v>
      </c>
      <c r="P36" s="29">
        <v>194</v>
      </c>
      <c r="Q36" s="6">
        <v>428</v>
      </c>
      <c r="R36" s="38">
        <f>11640.2+71.2</f>
        <v>11711.400000000001</v>
      </c>
      <c r="S36" s="32">
        <f>7084.7+43.7</f>
        <v>7128.4</v>
      </c>
      <c r="T36" s="6">
        <f t="shared" si="7"/>
        <v>178</v>
      </c>
      <c r="U36" s="39">
        <f t="shared" si="8"/>
        <v>10741.400000000001</v>
      </c>
      <c r="V36" s="39">
        <f t="shared" si="9"/>
        <v>6525.4</v>
      </c>
      <c r="W36" s="10">
        <v>15</v>
      </c>
      <c r="X36" s="80">
        <v>970</v>
      </c>
      <c r="Y36" s="80">
        <v>603</v>
      </c>
      <c r="Z36" s="31"/>
      <c r="AA36" s="31"/>
      <c r="AB36" s="31"/>
      <c r="AC36" s="80">
        <f t="shared" si="10"/>
        <v>24.299999999999997</v>
      </c>
      <c r="AD36" s="38">
        <f t="shared" si="11"/>
        <v>24.299999999999997</v>
      </c>
      <c r="AE36" s="87"/>
      <c r="AF36" s="38">
        <f>95.5-71.2</f>
        <v>24.299999999999997</v>
      </c>
      <c r="AG36" s="87"/>
      <c r="AH36" s="33"/>
      <c r="AI36" s="87">
        <f t="shared" si="30"/>
        <v>11735.7</v>
      </c>
      <c r="AJ36" s="29"/>
      <c r="AK36" s="29">
        <v>5</v>
      </c>
      <c r="AL36" s="29">
        <v>5</v>
      </c>
      <c r="AM36" s="29">
        <v>5</v>
      </c>
      <c r="AN36" s="29"/>
      <c r="AO36" s="29">
        <v>5</v>
      </c>
      <c r="AP36" s="29">
        <f>2130+3480+3480</f>
        <v>9090</v>
      </c>
      <c r="AQ36" s="29">
        <v>583</v>
      </c>
      <c r="AR36" s="29">
        <v>660</v>
      </c>
      <c r="AS36" s="29">
        <f>106+168+262</f>
        <v>536</v>
      </c>
      <c r="AT36" s="29">
        <f>143+286+286</f>
        <v>715</v>
      </c>
      <c r="AU36" s="29">
        <f t="shared" si="31"/>
        <v>19928</v>
      </c>
      <c r="AV36" s="29"/>
      <c r="AW36" s="29">
        <f>5436+7246+7246</f>
        <v>19928</v>
      </c>
      <c r="AX36" s="29">
        <v>1900</v>
      </c>
      <c r="AY36" s="29">
        <f>169+132+170</f>
        <v>471</v>
      </c>
      <c r="AZ36" s="29">
        <f>510+701+701</f>
        <v>1912</v>
      </c>
      <c r="BA36" s="29">
        <f>510+701+701</f>
        <v>1912</v>
      </c>
      <c r="BB36" s="29">
        <f>34+17+34</f>
        <v>85</v>
      </c>
      <c r="BC36" s="29">
        <v>10</v>
      </c>
      <c r="BD36" s="29">
        <f>141+257+258</f>
        <v>656</v>
      </c>
      <c r="BE36" s="29">
        <f>459+677+678</f>
        <v>1814</v>
      </c>
      <c r="BF36" s="29"/>
      <c r="BG36" s="29">
        <f>3800+7600+7600</f>
        <v>19000</v>
      </c>
      <c r="BH36" s="29">
        <f>1635+3270+3270</f>
        <v>8175</v>
      </c>
      <c r="BI36" s="29">
        <f>45+90+90</f>
        <v>225</v>
      </c>
      <c r="BJ36" s="98" t="str">
        <f t="shared" si="13"/>
        <v>0</v>
      </c>
      <c r="BK36" s="98" t="str">
        <f t="shared" si="14"/>
        <v>0</v>
      </c>
      <c r="BL36" s="98" t="str">
        <f t="shared" si="15"/>
        <v>0</v>
      </c>
      <c r="BM36" s="98">
        <f t="shared" si="16"/>
        <v>1</v>
      </c>
      <c r="BN36" s="98">
        <f t="shared" si="17"/>
        <v>11711.400000000001</v>
      </c>
      <c r="BO36" s="98">
        <f t="shared" si="18"/>
        <v>7128.4</v>
      </c>
      <c r="BP36" s="98" t="str">
        <f t="shared" si="19"/>
        <v>0</v>
      </c>
      <c r="BQ36" s="98" t="str">
        <f t="shared" si="20"/>
        <v>0</v>
      </c>
      <c r="BR36" s="98" t="str">
        <f t="shared" si="21"/>
        <v>0</v>
      </c>
      <c r="BS36" s="29"/>
      <c r="BT36" s="29">
        <v>4</v>
      </c>
      <c r="BU36" s="29"/>
      <c r="BV36" s="29"/>
      <c r="BW36" s="29"/>
      <c r="BX36" s="29"/>
      <c r="BY36" s="82">
        <v>2298.8999999999996</v>
      </c>
      <c r="BZ36" s="82">
        <v>2086.9</v>
      </c>
      <c r="CA36" s="4">
        <v>4791</v>
      </c>
      <c r="CB36" s="4">
        <f t="shared" si="1"/>
        <v>2742</v>
      </c>
      <c r="CC36" s="34" t="str">
        <f t="shared" si="33"/>
        <v>0</v>
      </c>
      <c r="CD36" s="35">
        <f t="shared" si="3"/>
        <v>0</v>
      </c>
      <c r="CE36" s="34">
        <f t="shared" si="4"/>
        <v>1</v>
      </c>
      <c r="CF36" s="35">
        <f t="shared" si="5"/>
        <v>19928</v>
      </c>
      <c r="CG36" s="35">
        <f t="shared" si="22"/>
        <v>1</v>
      </c>
      <c r="CH36" s="35">
        <f t="shared" si="23"/>
        <v>19928</v>
      </c>
      <c r="CI36" s="22">
        <v>30</v>
      </c>
      <c r="CJ36" s="217" t="str">
        <f t="shared" si="24"/>
        <v>0</v>
      </c>
      <c r="CK36" s="217" t="str">
        <f t="shared" si="25"/>
        <v>0</v>
      </c>
      <c r="CL36" s="218">
        <f t="shared" si="26"/>
        <v>8.2825281349795912</v>
      </c>
      <c r="CM36" s="219" t="str">
        <f t="shared" si="27"/>
        <v>0</v>
      </c>
      <c r="CN36" s="219" t="str">
        <f t="shared" si="28"/>
        <v>0</v>
      </c>
      <c r="CO36" s="218">
        <f t="shared" si="29"/>
        <v>8.472438797856114</v>
      </c>
      <c r="CP36" s="97">
        <v>1</v>
      </c>
      <c r="CQ36" s="97">
        <v>0</v>
      </c>
      <c r="CR36" s="97">
        <v>0</v>
      </c>
      <c r="CS36" s="97">
        <v>0</v>
      </c>
      <c r="CT36" s="97">
        <v>4</v>
      </c>
      <c r="CU36" s="97">
        <v>0</v>
      </c>
      <c r="CV36" s="97">
        <v>0</v>
      </c>
      <c r="CW36" s="97">
        <v>0</v>
      </c>
      <c r="CX36" s="97">
        <v>0</v>
      </c>
      <c r="CY36" s="94">
        <v>192</v>
      </c>
      <c r="CZ36" s="95">
        <v>175</v>
      </c>
      <c r="DA36" s="94">
        <v>17</v>
      </c>
      <c r="DB36" s="97">
        <v>154</v>
      </c>
      <c r="DC36" s="97">
        <v>96</v>
      </c>
      <c r="DD36" s="221">
        <v>275</v>
      </c>
      <c r="DE36" s="97">
        <v>122</v>
      </c>
      <c r="DF36" s="97">
        <v>96</v>
      </c>
      <c r="DG36" s="221">
        <v>275</v>
      </c>
      <c r="DH36" s="97">
        <v>122</v>
      </c>
      <c r="DI36" s="97">
        <v>15</v>
      </c>
      <c r="DJ36" s="97">
        <v>6</v>
      </c>
      <c r="DK36" s="94">
        <v>20</v>
      </c>
      <c r="DL36" s="97">
        <v>7</v>
      </c>
      <c r="DM36" s="97">
        <v>6</v>
      </c>
      <c r="DN36" s="94">
        <v>20</v>
      </c>
      <c r="DO36" s="97">
        <v>7</v>
      </c>
      <c r="DP36" s="92">
        <f t="shared" si="6"/>
        <v>192</v>
      </c>
      <c r="DQ36" s="97">
        <v>192</v>
      </c>
      <c r="DX36" s="105"/>
      <c r="DY36" s="104"/>
    </row>
    <row r="37" spans="1:129">
      <c r="A37" s="24" t="s">
        <v>92</v>
      </c>
      <c r="B37" s="25">
        <v>31</v>
      </c>
      <c r="C37" s="3" t="s">
        <v>177</v>
      </c>
      <c r="D37" s="26">
        <v>1985</v>
      </c>
      <c r="E37" s="27"/>
      <c r="F37" s="27" t="s">
        <v>104</v>
      </c>
      <c r="G37" s="28">
        <v>1</v>
      </c>
      <c r="H37" s="27">
        <v>9</v>
      </c>
      <c r="I37" s="27" t="s">
        <v>96</v>
      </c>
      <c r="J37" s="29">
        <v>19996</v>
      </c>
      <c r="K37" s="29">
        <v>1340</v>
      </c>
      <c r="L37" s="29"/>
      <c r="M37" s="29">
        <v>1227</v>
      </c>
      <c r="N37" s="29">
        <v>96</v>
      </c>
      <c r="O37" s="29">
        <v>208</v>
      </c>
      <c r="P37" s="29">
        <v>97</v>
      </c>
      <c r="Q37" s="6">
        <v>160</v>
      </c>
      <c r="R37" s="38">
        <v>4991.1000000000004</v>
      </c>
      <c r="S37" s="32">
        <v>2832</v>
      </c>
      <c r="T37" s="6">
        <f t="shared" si="7"/>
        <v>85</v>
      </c>
      <c r="U37" s="30">
        <f t="shared" si="8"/>
        <v>4347.2000000000007</v>
      </c>
      <c r="V37" s="30">
        <f t="shared" si="9"/>
        <v>2456.6999999999998</v>
      </c>
      <c r="W37" s="10">
        <v>11</v>
      </c>
      <c r="X37" s="80">
        <v>643.9</v>
      </c>
      <c r="Y37" s="80">
        <v>375.3</v>
      </c>
      <c r="Z37" s="31"/>
      <c r="AA37" s="31"/>
      <c r="AB37" s="31"/>
      <c r="AC37" s="80">
        <f t="shared" si="10"/>
        <v>707</v>
      </c>
      <c r="AD37" s="38">
        <f t="shared" si="11"/>
        <v>707</v>
      </c>
      <c r="AE37" s="87"/>
      <c r="AF37" s="38">
        <v>707</v>
      </c>
      <c r="AG37" s="87"/>
      <c r="AH37" s="33"/>
      <c r="AI37" s="87">
        <f t="shared" si="30"/>
        <v>5698.1</v>
      </c>
      <c r="AJ37" s="29"/>
      <c r="AK37" s="29">
        <v>3</v>
      </c>
      <c r="AL37" s="29">
        <v>3</v>
      </c>
      <c r="AM37" s="29">
        <v>3</v>
      </c>
      <c r="AN37" s="29"/>
      <c r="AO37" s="29">
        <v>3</v>
      </c>
      <c r="AP37" s="29">
        <v>4680</v>
      </c>
      <c r="AQ37" s="29">
        <v>583</v>
      </c>
      <c r="AR37" s="29">
        <v>340</v>
      </c>
      <c r="AS37" s="29">
        <v>262</v>
      </c>
      <c r="AT37" s="29">
        <v>210</v>
      </c>
      <c r="AU37" s="29">
        <f t="shared" si="31"/>
        <v>6360</v>
      </c>
      <c r="AV37" s="29"/>
      <c r="AW37" s="29">
        <v>6360</v>
      </c>
      <c r="AX37" s="29"/>
      <c r="AY37" s="29">
        <v>274</v>
      </c>
      <c r="AZ37" s="29">
        <v>1110</v>
      </c>
      <c r="BA37" s="29">
        <v>1110</v>
      </c>
      <c r="BB37" s="29">
        <v>0</v>
      </c>
      <c r="BC37" s="29">
        <v>6</v>
      </c>
      <c r="BD37" s="29">
        <v>256</v>
      </c>
      <c r="BE37" s="29">
        <v>654</v>
      </c>
      <c r="BF37" s="29"/>
      <c r="BG37" s="29">
        <v>17100</v>
      </c>
      <c r="BH37" s="29">
        <v>4905</v>
      </c>
      <c r="BI37" s="29">
        <v>135</v>
      </c>
      <c r="BJ37" s="98">
        <f t="shared" si="13"/>
        <v>1</v>
      </c>
      <c r="BK37" s="98">
        <f t="shared" si="14"/>
        <v>4991.1000000000004</v>
      </c>
      <c r="BL37" s="98">
        <f t="shared" si="15"/>
        <v>2832</v>
      </c>
      <c r="BM37" s="98" t="str">
        <f t="shared" si="16"/>
        <v>0</v>
      </c>
      <c r="BN37" s="98" t="str">
        <f t="shared" si="17"/>
        <v>0</v>
      </c>
      <c r="BO37" s="98" t="str">
        <f t="shared" si="18"/>
        <v>0</v>
      </c>
      <c r="BP37" s="98" t="str">
        <f t="shared" si="19"/>
        <v>0</v>
      </c>
      <c r="BQ37" s="98" t="str">
        <f t="shared" si="20"/>
        <v>0</v>
      </c>
      <c r="BR37" s="98" t="str">
        <f t="shared" si="21"/>
        <v>0</v>
      </c>
      <c r="BS37" s="29"/>
      <c r="BT37" s="29">
        <v>3</v>
      </c>
      <c r="BU37" s="29">
        <f>BA37</f>
        <v>1110</v>
      </c>
      <c r="BV37" s="29">
        <v>10123</v>
      </c>
      <c r="BW37" s="29"/>
      <c r="BX37" s="29">
        <f>AP37</f>
        <v>4680</v>
      </c>
      <c r="BY37" s="82">
        <v>1879.2000000000003</v>
      </c>
      <c r="BZ37" s="82">
        <v>1111.7</v>
      </c>
      <c r="CA37" s="4">
        <v>3695</v>
      </c>
      <c r="CB37" s="4">
        <f t="shared" si="1"/>
        <v>2355</v>
      </c>
      <c r="CC37" s="34" t="str">
        <f t="shared" si="33"/>
        <v>0</v>
      </c>
      <c r="CD37" s="35">
        <f t="shared" si="3"/>
        <v>0</v>
      </c>
      <c r="CE37" s="34">
        <f t="shared" si="4"/>
        <v>1</v>
      </c>
      <c r="CF37" s="35">
        <f t="shared" si="5"/>
        <v>6360</v>
      </c>
      <c r="CG37" s="35">
        <f t="shared" si="22"/>
        <v>1</v>
      </c>
      <c r="CH37" s="35">
        <f t="shared" si="23"/>
        <v>6360</v>
      </c>
      <c r="CI37" s="22">
        <v>28</v>
      </c>
      <c r="CJ37" s="217" t="str">
        <f t="shared" si="24"/>
        <v>0</v>
      </c>
      <c r="CK37" s="217" t="str">
        <f t="shared" si="25"/>
        <v>0</v>
      </c>
      <c r="CL37" s="218">
        <f t="shared" si="26"/>
        <v>12.900963715413436</v>
      </c>
      <c r="CM37" s="219" t="str">
        <f t="shared" si="27"/>
        <v>0</v>
      </c>
      <c r="CN37" s="219" t="str">
        <f t="shared" si="28"/>
        <v>0</v>
      </c>
      <c r="CO37" s="218">
        <f t="shared" si="29"/>
        <v>23.707902634211404</v>
      </c>
      <c r="CP37" s="97">
        <v>1</v>
      </c>
      <c r="CQ37" s="97">
        <v>0</v>
      </c>
      <c r="CR37" s="97">
        <v>0</v>
      </c>
      <c r="CS37" s="97">
        <v>0</v>
      </c>
      <c r="CT37" s="97">
        <v>2</v>
      </c>
      <c r="CU37" s="97">
        <v>0</v>
      </c>
      <c r="CV37" s="97">
        <v>0</v>
      </c>
      <c r="CW37" s="97">
        <v>0</v>
      </c>
      <c r="CX37" s="97">
        <v>0</v>
      </c>
      <c r="CY37" s="94">
        <v>96</v>
      </c>
      <c r="CZ37" s="95">
        <v>89</v>
      </c>
      <c r="DA37" s="94">
        <v>7</v>
      </c>
      <c r="DB37" s="97">
        <v>76</v>
      </c>
      <c r="DC37" s="97">
        <v>44</v>
      </c>
      <c r="DD37" s="221">
        <v>136</v>
      </c>
      <c r="DE37" s="97">
        <v>67</v>
      </c>
      <c r="DF37" s="97">
        <v>44</v>
      </c>
      <c r="DG37" s="221">
        <v>136</v>
      </c>
      <c r="DH37" s="97">
        <v>67</v>
      </c>
      <c r="DI37" s="97">
        <v>6</v>
      </c>
      <c r="DJ37" s="97">
        <v>1</v>
      </c>
      <c r="DK37" s="94">
        <v>8</v>
      </c>
      <c r="DL37" s="97">
        <v>2</v>
      </c>
      <c r="DM37" s="97">
        <v>1</v>
      </c>
      <c r="DN37" s="94">
        <v>8</v>
      </c>
      <c r="DO37" s="97">
        <v>2</v>
      </c>
      <c r="DP37" s="92">
        <f t="shared" si="6"/>
        <v>96</v>
      </c>
      <c r="DQ37" s="97">
        <v>96</v>
      </c>
      <c r="DX37" s="105"/>
      <c r="DY37" s="104"/>
    </row>
    <row r="38" spans="1:129">
      <c r="A38" s="24" t="s">
        <v>92</v>
      </c>
      <c r="B38" s="25">
        <v>32</v>
      </c>
      <c r="C38" s="3" t="s">
        <v>176</v>
      </c>
      <c r="D38" s="26">
        <v>1983</v>
      </c>
      <c r="E38" s="27"/>
      <c r="F38" s="27" t="s">
        <v>104</v>
      </c>
      <c r="G38" s="28">
        <v>1</v>
      </c>
      <c r="H38" s="27">
        <v>9</v>
      </c>
      <c r="I38" s="27" t="s">
        <v>96</v>
      </c>
      <c r="J38" s="29">
        <v>12849</v>
      </c>
      <c r="K38" s="29">
        <v>1075</v>
      </c>
      <c r="L38" s="29"/>
      <c r="M38" s="29">
        <v>1075</v>
      </c>
      <c r="N38" s="29">
        <v>63</v>
      </c>
      <c r="O38" s="29">
        <v>143</v>
      </c>
      <c r="P38" s="29">
        <v>66</v>
      </c>
      <c r="Q38" s="6">
        <v>135</v>
      </c>
      <c r="R38" s="38">
        <v>3308.6</v>
      </c>
      <c r="S38" s="32">
        <v>1941.4</v>
      </c>
      <c r="T38" s="6">
        <f t="shared" si="7"/>
        <v>59</v>
      </c>
      <c r="U38" s="30">
        <f t="shared" si="8"/>
        <v>3101</v>
      </c>
      <c r="V38" s="30">
        <f t="shared" si="9"/>
        <v>1820.7</v>
      </c>
      <c r="W38" s="10">
        <v>4</v>
      </c>
      <c r="X38" s="80">
        <v>207.6</v>
      </c>
      <c r="Y38" s="80">
        <v>120.7</v>
      </c>
      <c r="Z38" s="31"/>
      <c r="AA38" s="31"/>
      <c r="AB38" s="31"/>
      <c r="AC38" s="80">
        <f t="shared" si="10"/>
        <v>680.90000000000009</v>
      </c>
      <c r="AD38" s="38">
        <f t="shared" si="11"/>
        <v>238.7</v>
      </c>
      <c r="AE38" s="87"/>
      <c r="AF38" s="38">
        <f>640.5-401.8</f>
        <v>238.7</v>
      </c>
      <c r="AG38" s="87">
        <f>401.8+42.6-2.2</f>
        <v>442.20000000000005</v>
      </c>
      <c r="AH38" s="33"/>
      <c r="AI38" s="87">
        <f t="shared" si="30"/>
        <v>3989.5</v>
      </c>
      <c r="AJ38" s="29"/>
      <c r="AK38" s="29">
        <v>2</v>
      </c>
      <c r="AL38" s="29">
        <v>2</v>
      </c>
      <c r="AM38" s="29">
        <v>2</v>
      </c>
      <c r="AN38" s="29"/>
      <c r="AO38" s="29">
        <v>2</v>
      </c>
      <c r="AP38" s="29">
        <v>4680</v>
      </c>
      <c r="AQ38" s="29">
        <v>583</v>
      </c>
      <c r="AR38" s="29">
        <v>215</v>
      </c>
      <c r="AS38" s="29">
        <v>234</v>
      </c>
      <c r="AT38" s="29">
        <v>140</v>
      </c>
      <c r="AU38" s="29">
        <f t="shared" si="31"/>
        <v>4240</v>
      </c>
      <c r="AV38" s="29"/>
      <c r="AW38" s="29">
        <v>4240</v>
      </c>
      <c r="AX38" s="29"/>
      <c r="AY38" s="29">
        <v>195</v>
      </c>
      <c r="AZ38" s="29">
        <v>980</v>
      </c>
      <c r="BA38" s="29">
        <v>980</v>
      </c>
      <c r="BB38" s="29">
        <v>0</v>
      </c>
      <c r="BC38" s="29">
        <v>4</v>
      </c>
      <c r="BD38" s="29">
        <v>237</v>
      </c>
      <c r="BE38" s="29">
        <v>584</v>
      </c>
      <c r="BF38" s="29"/>
      <c r="BG38" s="29">
        <v>11400</v>
      </c>
      <c r="BH38" s="29">
        <v>3270</v>
      </c>
      <c r="BI38" s="29">
        <v>90</v>
      </c>
      <c r="BJ38" s="98">
        <f t="shared" si="13"/>
        <v>1</v>
      </c>
      <c r="BK38" s="98">
        <f t="shared" si="14"/>
        <v>3308.6</v>
      </c>
      <c r="BL38" s="98">
        <f t="shared" si="15"/>
        <v>1941.4</v>
      </c>
      <c r="BM38" s="98" t="str">
        <f t="shared" si="16"/>
        <v>0</v>
      </c>
      <c r="BN38" s="98" t="str">
        <f t="shared" si="17"/>
        <v>0</v>
      </c>
      <c r="BO38" s="98" t="str">
        <f t="shared" si="18"/>
        <v>0</v>
      </c>
      <c r="BP38" s="98" t="str">
        <f t="shared" si="19"/>
        <v>0</v>
      </c>
      <c r="BQ38" s="98" t="str">
        <f t="shared" si="20"/>
        <v>0</v>
      </c>
      <c r="BR38" s="98" t="str">
        <f t="shared" si="21"/>
        <v>0</v>
      </c>
      <c r="BS38" s="29"/>
      <c r="BT38" s="29">
        <v>1</v>
      </c>
      <c r="BU38" s="29">
        <f>BA38</f>
        <v>980</v>
      </c>
      <c r="BV38" s="29">
        <v>7036</v>
      </c>
      <c r="BW38" s="29"/>
      <c r="BX38" s="29">
        <f>AP38</f>
        <v>4680</v>
      </c>
      <c r="BY38" s="82">
        <v>1259.2000000000003</v>
      </c>
      <c r="BZ38" s="82">
        <v>722.6</v>
      </c>
      <c r="CA38" s="4">
        <v>2686</v>
      </c>
      <c r="CB38" s="4">
        <f t="shared" si="1"/>
        <v>1611</v>
      </c>
      <c r="CC38" s="34" t="str">
        <f t="shared" si="33"/>
        <v>0</v>
      </c>
      <c r="CD38" s="35">
        <f t="shared" si="3"/>
        <v>0</v>
      </c>
      <c r="CE38" s="34">
        <f t="shared" si="4"/>
        <v>1</v>
      </c>
      <c r="CF38" s="35">
        <f t="shared" si="5"/>
        <v>4240</v>
      </c>
      <c r="CG38" s="35">
        <f t="shared" si="22"/>
        <v>1</v>
      </c>
      <c r="CH38" s="35">
        <f t="shared" si="23"/>
        <v>4240</v>
      </c>
      <c r="CI38" s="22">
        <v>30</v>
      </c>
      <c r="CJ38" s="217" t="str">
        <f t="shared" si="24"/>
        <v>0</v>
      </c>
      <c r="CK38" s="217" t="str">
        <f t="shared" si="25"/>
        <v>0</v>
      </c>
      <c r="CL38" s="218">
        <f t="shared" si="26"/>
        <v>6.2745572145318258</v>
      </c>
      <c r="CM38" s="219" t="str">
        <f t="shared" si="27"/>
        <v>0</v>
      </c>
      <c r="CN38" s="219" t="str">
        <f t="shared" si="28"/>
        <v>0</v>
      </c>
      <c r="CO38" s="218">
        <f t="shared" si="29"/>
        <v>11.186865521995236</v>
      </c>
      <c r="CP38" s="97">
        <v>1</v>
      </c>
      <c r="CQ38" s="97">
        <v>0</v>
      </c>
      <c r="CR38" s="97">
        <v>0</v>
      </c>
      <c r="CS38" s="97">
        <v>0</v>
      </c>
      <c r="CT38" s="97">
        <v>2</v>
      </c>
      <c r="CU38" s="97">
        <v>0</v>
      </c>
      <c r="CV38" s="97">
        <v>0</v>
      </c>
      <c r="CW38" s="97">
        <v>0</v>
      </c>
      <c r="CX38" s="97">
        <v>0</v>
      </c>
      <c r="CY38" s="94">
        <v>63</v>
      </c>
      <c r="CZ38" s="95">
        <v>59</v>
      </c>
      <c r="DA38" s="94">
        <v>4</v>
      </c>
      <c r="DB38" s="97">
        <v>59</v>
      </c>
      <c r="DC38" s="97">
        <v>25</v>
      </c>
      <c r="DD38" s="221">
        <v>94</v>
      </c>
      <c r="DE38" s="97">
        <v>39</v>
      </c>
      <c r="DF38" s="97">
        <v>25</v>
      </c>
      <c r="DG38" s="221">
        <v>94</v>
      </c>
      <c r="DH38" s="97">
        <v>39</v>
      </c>
      <c r="DI38" s="97">
        <v>4</v>
      </c>
      <c r="DJ38" s="97">
        <v>0</v>
      </c>
      <c r="DK38" s="94">
        <v>4</v>
      </c>
      <c r="DL38" s="97">
        <v>0</v>
      </c>
      <c r="DM38" s="97">
        <v>0</v>
      </c>
      <c r="DN38" s="94">
        <v>4</v>
      </c>
      <c r="DO38" s="97">
        <v>0</v>
      </c>
      <c r="DP38" s="92">
        <f t="shared" si="6"/>
        <v>63</v>
      </c>
      <c r="DQ38" s="97">
        <v>63</v>
      </c>
      <c r="DX38" s="105"/>
      <c r="DY38" s="104"/>
    </row>
    <row r="39" spans="1:129">
      <c r="A39" s="24" t="s">
        <v>92</v>
      </c>
      <c r="B39" s="25">
        <v>33</v>
      </c>
      <c r="C39" s="3" t="s">
        <v>175</v>
      </c>
      <c r="D39" s="26">
        <v>1981</v>
      </c>
      <c r="E39" s="27"/>
      <c r="F39" s="27" t="s">
        <v>28</v>
      </c>
      <c r="G39" s="28">
        <v>1</v>
      </c>
      <c r="H39" s="27">
        <v>9</v>
      </c>
      <c r="I39" s="27" t="s">
        <v>95</v>
      </c>
      <c r="J39" s="29">
        <v>19902</v>
      </c>
      <c r="K39" s="29">
        <v>766</v>
      </c>
      <c r="L39" s="29"/>
      <c r="M39" s="29">
        <v>723</v>
      </c>
      <c r="N39" s="29">
        <v>70</v>
      </c>
      <c r="O39" s="29">
        <v>197</v>
      </c>
      <c r="P39" s="29">
        <v>72</v>
      </c>
      <c r="Q39" s="6">
        <v>175</v>
      </c>
      <c r="R39" s="38">
        <v>4520.5</v>
      </c>
      <c r="S39" s="32">
        <v>2865.8</v>
      </c>
      <c r="T39" s="6">
        <f t="shared" si="7"/>
        <v>62</v>
      </c>
      <c r="U39" s="30">
        <f t="shared" si="8"/>
        <v>3969.6</v>
      </c>
      <c r="V39" s="30">
        <f t="shared" si="9"/>
        <v>2511.3000000000002</v>
      </c>
      <c r="W39" s="10">
        <v>8</v>
      </c>
      <c r="X39" s="80">
        <v>550.9</v>
      </c>
      <c r="Y39" s="80">
        <v>354.5</v>
      </c>
      <c r="Z39" s="31"/>
      <c r="AA39" s="31"/>
      <c r="AB39" s="31"/>
      <c r="AC39" s="80">
        <f t="shared" si="10"/>
        <v>0</v>
      </c>
      <c r="AD39" s="38">
        <f t="shared" si="11"/>
        <v>0</v>
      </c>
      <c r="AE39" s="87"/>
      <c r="AF39" s="38">
        <v>0</v>
      </c>
      <c r="AG39" s="87"/>
      <c r="AH39" s="33"/>
      <c r="AI39" s="87">
        <f t="shared" si="30"/>
        <v>4520.5</v>
      </c>
      <c r="AJ39" s="29"/>
      <c r="AK39" s="29">
        <v>2</v>
      </c>
      <c r="AL39" s="29">
        <v>2</v>
      </c>
      <c r="AM39" s="29">
        <v>1</v>
      </c>
      <c r="AN39" s="29"/>
      <c r="AO39" s="29">
        <v>2</v>
      </c>
      <c r="AP39" s="29">
        <v>3930</v>
      </c>
      <c r="AQ39" s="29"/>
      <c r="AR39" s="29">
        <v>391</v>
      </c>
      <c r="AS39" s="29">
        <v>157</v>
      </c>
      <c r="AT39" s="29">
        <v>286</v>
      </c>
      <c r="AU39" s="29">
        <f t="shared" si="31"/>
        <v>7246</v>
      </c>
      <c r="AV39" s="29"/>
      <c r="AW39" s="29">
        <v>7246</v>
      </c>
      <c r="AX39" s="29">
        <v>2140</v>
      </c>
      <c r="AY39" s="29">
        <v>165</v>
      </c>
      <c r="AZ39" s="29">
        <v>723</v>
      </c>
      <c r="BA39" s="29">
        <v>723</v>
      </c>
      <c r="BB39" s="29">
        <v>34</v>
      </c>
      <c r="BC39" s="29">
        <v>4</v>
      </c>
      <c r="BD39" s="29">
        <v>237</v>
      </c>
      <c r="BE39" s="29">
        <v>584</v>
      </c>
      <c r="BF39" s="29"/>
      <c r="BG39" s="29">
        <v>7600</v>
      </c>
      <c r="BH39" s="29">
        <v>3270</v>
      </c>
      <c r="BI39" s="29">
        <v>90</v>
      </c>
      <c r="BJ39" s="98" t="str">
        <f t="shared" si="13"/>
        <v>0</v>
      </c>
      <c r="BK39" s="98" t="str">
        <f t="shared" si="14"/>
        <v>0</v>
      </c>
      <c r="BL39" s="98" t="str">
        <f t="shared" si="15"/>
        <v>0</v>
      </c>
      <c r="BM39" s="98">
        <f t="shared" si="16"/>
        <v>1</v>
      </c>
      <c r="BN39" s="98">
        <f t="shared" si="17"/>
        <v>4520.5</v>
      </c>
      <c r="BO39" s="98">
        <f t="shared" si="18"/>
        <v>2865.8</v>
      </c>
      <c r="BP39" s="98" t="str">
        <f t="shared" si="19"/>
        <v>0</v>
      </c>
      <c r="BQ39" s="98" t="str">
        <f t="shared" si="20"/>
        <v>0</v>
      </c>
      <c r="BR39" s="98" t="str">
        <f t="shared" si="21"/>
        <v>0</v>
      </c>
      <c r="BS39" s="29"/>
      <c r="BT39" s="29">
        <v>2</v>
      </c>
      <c r="BU39" s="29"/>
      <c r="BV39" s="29"/>
      <c r="BW39" s="29"/>
      <c r="BX39" s="29"/>
      <c r="BY39" s="82">
        <v>839.4</v>
      </c>
      <c r="BZ39" s="82">
        <v>752.9</v>
      </c>
      <c r="CA39" s="4">
        <v>2136</v>
      </c>
      <c r="CB39" s="4">
        <f t="shared" si="1"/>
        <v>1370</v>
      </c>
      <c r="CC39" s="34" t="str">
        <f t="shared" si="33"/>
        <v>0</v>
      </c>
      <c r="CD39" s="35">
        <f t="shared" si="3"/>
        <v>0</v>
      </c>
      <c r="CE39" s="34">
        <f t="shared" si="4"/>
        <v>1</v>
      </c>
      <c r="CF39" s="35">
        <f t="shared" si="5"/>
        <v>7246</v>
      </c>
      <c r="CG39" s="35">
        <f t="shared" si="22"/>
        <v>1</v>
      </c>
      <c r="CH39" s="35">
        <f t="shared" si="23"/>
        <v>7246</v>
      </c>
      <c r="CI39" s="22">
        <v>29</v>
      </c>
      <c r="CJ39" s="217" t="str">
        <f t="shared" si="24"/>
        <v>0</v>
      </c>
      <c r="CK39" s="217" t="str">
        <f t="shared" si="25"/>
        <v>0</v>
      </c>
      <c r="CL39" s="218">
        <f t="shared" si="26"/>
        <v>12.186705010507687</v>
      </c>
      <c r="CM39" s="219" t="str">
        <f t="shared" si="27"/>
        <v>0</v>
      </c>
      <c r="CN39" s="219" t="str">
        <f t="shared" si="28"/>
        <v>0</v>
      </c>
      <c r="CO39" s="218">
        <f t="shared" si="29"/>
        <v>12.186705010507687</v>
      </c>
      <c r="CP39" s="97">
        <v>1</v>
      </c>
      <c r="CQ39" s="97">
        <v>1</v>
      </c>
      <c r="CR39" s="97">
        <v>1</v>
      </c>
      <c r="CS39" s="97">
        <v>1</v>
      </c>
      <c r="CT39" s="97">
        <v>2</v>
      </c>
      <c r="CU39" s="97">
        <v>0</v>
      </c>
      <c r="CV39" s="97">
        <v>0</v>
      </c>
      <c r="CW39" s="97">
        <v>0</v>
      </c>
      <c r="CX39" s="97">
        <v>2</v>
      </c>
      <c r="CY39" s="94">
        <v>70</v>
      </c>
      <c r="CZ39" s="95">
        <v>65</v>
      </c>
      <c r="DA39" s="94">
        <v>5</v>
      </c>
      <c r="DB39" s="97">
        <v>59</v>
      </c>
      <c r="DC39" s="97">
        <v>39</v>
      </c>
      <c r="DD39" s="221">
        <v>118</v>
      </c>
      <c r="DE39" s="97">
        <v>47</v>
      </c>
      <c r="DF39" s="97">
        <v>39</v>
      </c>
      <c r="DG39" s="221">
        <v>118</v>
      </c>
      <c r="DH39" s="97">
        <v>47</v>
      </c>
      <c r="DI39" s="97">
        <v>5</v>
      </c>
      <c r="DJ39" s="97">
        <v>2</v>
      </c>
      <c r="DK39" s="94">
        <v>8</v>
      </c>
      <c r="DL39" s="97">
        <v>3</v>
      </c>
      <c r="DM39" s="97">
        <v>2</v>
      </c>
      <c r="DN39" s="94">
        <v>8</v>
      </c>
      <c r="DO39" s="97">
        <v>3</v>
      </c>
      <c r="DP39" s="92">
        <f t="shared" si="6"/>
        <v>70</v>
      </c>
      <c r="DQ39" s="97">
        <v>70</v>
      </c>
      <c r="DX39" s="105"/>
      <c r="DY39" s="104"/>
    </row>
    <row r="40" spans="1:129">
      <c r="A40" s="24" t="s">
        <v>92</v>
      </c>
      <c r="B40" s="25">
        <v>34</v>
      </c>
      <c r="C40" s="3" t="s">
        <v>174</v>
      </c>
      <c r="D40" s="26">
        <v>1983</v>
      </c>
      <c r="E40" s="27"/>
      <c r="F40" s="27" t="s">
        <v>28</v>
      </c>
      <c r="G40" s="28">
        <v>1</v>
      </c>
      <c r="H40" s="27">
        <v>9</v>
      </c>
      <c r="I40" s="27" t="s">
        <v>107</v>
      </c>
      <c r="J40" s="29">
        <f>18946+16017+18838</f>
        <v>53801</v>
      </c>
      <c r="K40" s="29">
        <f>562+744+732</f>
        <v>2038</v>
      </c>
      <c r="L40" s="29"/>
      <c r="M40" s="29">
        <f>704+562+692</f>
        <v>1958</v>
      </c>
      <c r="N40" s="29">
        <v>194</v>
      </c>
      <c r="O40" s="29">
        <v>480</v>
      </c>
      <c r="P40" s="29">
        <v>196</v>
      </c>
      <c r="Q40" s="6">
        <v>426</v>
      </c>
      <c r="R40" s="38">
        <v>11814.4</v>
      </c>
      <c r="S40" s="32">
        <v>7222</v>
      </c>
      <c r="T40" s="6">
        <f t="shared" si="7"/>
        <v>183</v>
      </c>
      <c r="U40" s="30">
        <f t="shared" si="8"/>
        <v>11045.9</v>
      </c>
      <c r="V40" s="30">
        <f t="shared" si="9"/>
        <v>6741.4</v>
      </c>
      <c r="W40" s="10">
        <v>11</v>
      </c>
      <c r="X40" s="80">
        <v>768.5</v>
      </c>
      <c r="Y40" s="80">
        <v>480.6</v>
      </c>
      <c r="Z40" s="31"/>
      <c r="AA40" s="31"/>
      <c r="AB40" s="31"/>
      <c r="AC40" s="80">
        <f t="shared" si="10"/>
        <v>0</v>
      </c>
      <c r="AD40" s="38">
        <f t="shared" si="11"/>
        <v>0</v>
      </c>
      <c r="AE40" s="87"/>
      <c r="AF40" s="38">
        <v>0</v>
      </c>
      <c r="AG40" s="87"/>
      <c r="AH40" s="33"/>
      <c r="AI40" s="87">
        <f t="shared" si="30"/>
        <v>11814.4</v>
      </c>
      <c r="AJ40" s="29"/>
      <c r="AK40" s="29">
        <v>5</v>
      </c>
      <c r="AL40" s="29">
        <v>5</v>
      </c>
      <c r="AM40" s="29">
        <v>5</v>
      </c>
      <c r="AN40" s="29"/>
      <c r="AO40" s="29">
        <v>5</v>
      </c>
      <c r="AP40" s="29">
        <f>3500+2130+3500</f>
        <v>9130</v>
      </c>
      <c r="AQ40" s="29">
        <v>1166</v>
      </c>
      <c r="AR40" s="29">
        <v>690</v>
      </c>
      <c r="AS40" s="29">
        <f>174+107+209</f>
        <v>490</v>
      </c>
      <c r="AT40" s="29">
        <f>286+143+286</f>
        <v>715</v>
      </c>
      <c r="AU40" s="29">
        <f t="shared" si="31"/>
        <v>19928</v>
      </c>
      <c r="AV40" s="29"/>
      <c r="AW40" s="29">
        <f>7246+5436+7246</f>
        <v>19928</v>
      </c>
      <c r="AX40" s="29">
        <f>1900+1900</f>
        <v>3800</v>
      </c>
      <c r="AY40" s="29">
        <f>164+143+163</f>
        <v>470</v>
      </c>
      <c r="AZ40" s="29">
        <f>699+562+692</f>
        <v>1953</v>
      </c>
      <c r="BA40" s="29">
        <f>699+562+692</f>
        <v>1953</v>
      </c>
      <c r="BB40" s="29">
        <f>34+17+34</f>
        <v>85</v>
      </c>
      <c r="BC40" s="29">
        <f>4+2+4</f>
        <v>10</v>
      </c>
      <c r="BD40" s="29">
        <f>188+160+257</f>
        <v>605</v>
      </c>
      <c r="BE40" s="29">
        <f>608+484+677</f>
        <v>1769</v>
      </c>
      <c r="BF40" s="29"/>
      <c r="BG40" s="29">
        <f>7600+3800+7600</f>
        <v>19000</v>
      </c>
      <c r="BH40" s="29">
        <f>3270+1635+3270</f>
        <v>8175</v>
      </c>
      <c r="BI40" s="29">
        <f>90+45+90</f>
        <v>225</v>
      </c>
      <c r="BJ40" s="98" t="str">
        <f t="shared" si="13"/>
        <v>0</v>
      </c>
      <c r="BK40" s="98" t="str">
        <f t="shared" si="14"/>
        <v>0</v>
      </c>
      <c r="BL40" s="98" t="str">
        <f t="shared" si="15"/>
        <v>0</v>
      </c>
      <c r="BM40" s="98" t="str">
        <f t="shared" si="16"/>
        <v>0</v>
      </c>
      <c r="BN40" s="98" t="str">
        <f t="shared" si="17"/>
        <v>0</v>
      </c>
      <c r="BO40" s="98" t="str">
        <f t="shared" si="18"/>
        <v>0</v>
      </c>
      <c r="BP40" s="98">
        <f t="shared" si="19"/>
        <v>1</v>
      </c>
      <c r="BQ40" s="98">
        <f t="shared" si="20"/>
        <v>11814.4</v>
      </c>
      <c r="BR40" s="98">
        <f t="shared" si="21"/>
        <v>7222</v>
      </c>
      <c r="BS40" s="29"/>
      <c r="BT40" s="29">
        <v>4</v>
      </c>
      <c r="BU40" s="29"/>
      <c r="BV40" s="29"/>
      <c r="BW40" s="29"/>
      <c r="BX40" s="29">
        <v>2130</v>
      </c>
      <c r="BY40" s="82">
        <v>2696.2300000000005</v>
      </c>
      <c r="BZ40" s="82">
        <v>2047.4</v>
      </c>
      <c r="CA40" s="4">
        <v>4221</v>
      </c>
      <c r="CB40" s="4">
        <f t="shared" si="1"/>
        <v>2183</v>
      </c>
      <c r="CC40" s="34" t="str">
        <f t="shared" si="33"/>
        <v>0</v>
      </c>
      <c r="CD40" s="35">
        <f t="shared" si="3"/>
        <v>0</v>
      </c>
      <c r="CE40" s="34">
        <f t="shared" si="4"/>
        <v>1</v>
      </c>
      <c r="CF40" s="35">
        <f t="shared" si="5"/>
        <v>19928</v>
      </c>
      <c r="CG40" s="35">
        <f t="shared" si="22"/>
        <v>1</v>
      </c>
      <c r="CH40" s="35">
        <f t="shared" si="23"/>
        <v>19928</v>
      </c>
      <c r="CI40" s="22">
        <v>21</v>
      </c>
      <c r="CJ40" s="217" t="str">
        <f t="shared" si="24"/>
        <v>0</v>
      </c>
      <c r="CK40" s="217" t="str">
        <f t="shared" si="25"/>
        <v>0</v>
      </c>
      <c r="CL40" s="218">
        <f t="shared" si="26"/>
        <v>6.504773835319611</v>
      </c>
      <c r="CM40" s="219" t="str">
        <f t="shared" si="27"/>
        <v>0</v>
      </c>
      <c r="CN40" s="219" t="str">
        <f t="shared" si="28"/>
        <v>0</v>
      </c>
      <c r="CO40" s="218">
        <f t="shared" si="29"/>
        <v>6.504773835319611</v>
      </c>
      <c r="CP40" s="97">
        <v>1</v>
      </c>
      <c r="CQ40" s="97">
        <v>0</v>
      </c>
      <c r="CR40" s="97">
        <v>0</v>
      </c>
      <c r="CS40" s="97">
        <v>0</v>
      </c>
      <c r="CT40" s="97">
        <v>4</v>
      </c>
      <c r="CU40" s="97">
        <v>0</v>
      </c>
      <c r="CV40" s="97">
        <v>0</v>
      </c>
      <c r="CW40" s="97">
        <v>0</v>
      </c>
      <c r="CX40" s="97">
        <v>0</v>
      </c>
      <c r="CY40" s="94">
        <v>194</v>
      </c>
      <c r="CZ40" s="95">
        <v>178</v>
      </c>
      <c r="DA40" s="94">
        <v>16</v>
      </c>
      <c r="DB40" s="97">
        <v>168</v>
      </c>
      <c r="DC40" s="97">
        <v>111</v>
      </c>
      <c r="DD40" s="221">
        <v>283</v>
      </c>
      <c r="DE40" s="97">
        <v>144</v>
      </c>
      <c r="DF40" s="97">
        <v>111</v>
      </c>
      <c r="DG40" s="221">
        <v>283</v>
      </c>
      <c r="DH40" s="97">
        <v>145</v>
      </c>
      <c r="DI40" s="97">
        <v>14</v>
      </c>
      <c r="DJ40" s="97">
        <v>4</v>
      </c>
      <c r="DK40" s="94">
        <v>20</v>
      </c>
      <c r="DL40" s="97">
        <v>5</v>
      </c>
      <c r="DM40" s="97">
        <v>4</v>
      </c>
      <c r="DN40" s="94">
        <v>20</v>
      </c>
      <c r="DO40" s="97">
        <v>5</v>
      </c>
      <c r="DP40" s="92">
        <f t="shared" si="6"/>
        <v>194</v>
      </c>
      <c r="DQ40" s="97">
        <v>194</v>
      </c>
      <c r="DX40" s="105"/>
      <c r="DY40" s="104"/>
    </row>
    <row r="41" spans="1:129">
      <c r="A41" s="24" t="s">
        <v>92</v>
      </c>
      <c r="B41" s="25">
        <v>35</v>
      </c>
      <c r="C41" s="3" t="s">
        <v>173</v>
      </c>
      <c r="D41" s="26">
        <v>1987</v>
      </c>
      <c r="E41" s="27"/>
      <c r="F41" s="27" t="s">
        <v>105</v>
      </c>
      <c r="G41" s="28">
        <v>1</v>
      </c>
      <c r="H41" s="27">
        <v>12</v>
      </c>
      <c r="I41" s="27" t="s">
        <v>96</v>
      </c>
      <c r="J41" s="29">
        <f>26834+27061</f>
        <v>53895</v>
      </c>
      <c r="K41" s="29">
        <f>1358+1477</f>
        <v>2835</v>
      </c>
      <c r="L41" s="29"/>
      <c r="M41" s="29">
        <f>1269+1361</f>
        <v>2630</v>
      </c>
      <c r="N41" s="29">
        <v>132</v>
      </c>
      <c r="O41" s="29">
        <v>220</v>
      </c>
      <c r="P41" s="29">
        <v>135</v>
      </c>
      <c r="Q41" s="6">
        <v>206</v>
      </c>
      <c r="R41" s="38">
        <v>6466.5</v>
      </c>
      <c r="S41" s="32">
        <v>3480.2</v>
      </c>
      <c r="T41" s="6">
        <f t="shared" si="7"/>
        <v>120</v>
      </c>
      <c r="U41" s="30">
        <f t="shared" si="8"/>
        <v>5890.3</v>
      </c>
      <c r="V41" s="30">
        <f t="shared" si="9"/>
        <v>3173.2999999999997</v>
      </c>
      <c r="W41" s="10">
        <v>12</v>
      </c>
      <c r="X41" s="80">
        <v>576.20000000000005</v>
      </c>
      <c r="Y41" s="80">
        <v>306.89999999999998</v>
      </c>
      <c r="Z41" s="31"/>
      <c r="AA41" s="31"/>
      <c r="AB41" s="31"/>
      <c r="AC41" s="80">
        <f t="shared" si="10"/>
        <v>1377.5</v>
      </c>
      <c r="AD41" s="38">
        <f t="shared" si="11"/>
        <v>1377.5</v>
      </c>
      <c r="AE41" s="87"/>
      <c r="AF41" s="38">
        <v>1377.5</v>
      </c>
      <c r="AG41" s="87"/>
      <c r="AH41" s="33"/>
      <c r="AI41" s="87">
        <f t="shared" si="30"/>
        <v>7844</v>
      </c>
      <c r="AJ41" s="29"/>
      <c r="AK41" s="29">
        <f>2+2</f>
        <v>4</v>
      </c>
      <c r="AL41" s="29">
        <f>1+1</f>
        <v>2</v>
      </c>
      <c r="AM41" s="29">
        <f>1+1</f>
        <v>2</v>
      </c>
      <c r="AN41" s="29"/>
      <c r="AO41" s="29">
        <f>1+1</f>
        <v>2</v>
      </c>
      <c r="AP41" s="29">
        <f>5600+5600</f>
        <v>11200</v>
      </c>
      <c r="AQ41" s="29"/>
      <c r="AR41" s="29">
        <f>1120</f>
        <v>1120</v>
      </c>
      <c r="AS41" s="29">
        <f>256+256</f>
        <v>512</v>
      </c>
      <c r="AT41" s="29">
        <f>156+156</f>
        <v>312</v>
      </c>
      <c r="AU41" s="29">
        <f t="shared" ref="AU41" si="37">SUM(AV41+AW41)</f>
        <v>17584</v>
      </c>
      <c r="AV41" s="29"/>
      <c r="AW41" s="29">
        <f>8792+8792</f>
        <v>17584</v>
      </c>
      <c r="AX41" s="29"/>
      <c r="AY41" s="29">
        <f>154+153</f>
        <v>307</v>
      </c>
      <c r="AZ41" s="29">
        <f>1225+1223</f>
        <v>2448</v>
      </c>
      <c r="BA41" s="29">
        <f>1225+1223</f>
        <v>2448</v>
      </c>
      <c r="BB41" s="29"/>
      <c r="BC41" s="29">
        <f>2+2</f>
        <v>4</v>
      </c>
      <c r="BD41" s="29">
        <f>176+176</f>
        <v>352</v>
      </c>
      <c r="BE41" s="29">
        <f>572+574</f>
        <v>1146</v>
      </c>
      <c r="BF41" s="29"/>
      <c r="BG41" s="29">
        <f>7600+7600</f>
        <v>15200</v>
      </c>
      <c r="BH41" s="29">
        <f>3270+3270</f>
        <v>6540</v>
      </c>
      <c r="BI41" s="29">
        <f>120+120</f>
        <v>240</v>
      </c>
      <c r="BJ41" s="98">
        <f t="shared" si="13"/>
        <v>1</v>
      </c>
      <c r="BK41" s="98">
        <f t="shared" si="14"/>
        <v>6466.5</v>
      </c>
      <c r="BL41" s="98">
        <f t="shared" si="15"/>
        <v>3480.2</v>
      </c>
      <c r="BM41" s="98" t="str">
        <f t="shared" si="16"/>
        <v>0</v>
      </c>
      <c r="BN41" s="98" t="str">
        <f t="shared" si="17"/>
        <v>0</v>
      </c>
      <c r="BO41" s="98" t="str">
        <f t="shared" si="18"/>
        <v>0</v>
      </c>
      <c r="BP41" s="98" t="str">
        <f t="shared" si="19"/>
        <v>0</v>
      </c>
      <c r="BQ41" s="98" t="str">
        <f t="shared" si="20"/>
        <v>0</v>
      </c>
      <c r="BR41" s="98" t="str">
        <f t="shared" si="21"/>
        <v>0</v>
      </c>
      <c r="BS41" s="29"/>
      <c r="BT41" s="29">
        <v>3</v>
      </c>
      <c r="BU41" s="29">
        <f>BA41</f>
        <v>2448</v>
      </c>
      <c r="BV41" s="29">
        <v>10480</v>
      </c>
      <c r="BW41" s="29"/>
      <c r="BX41" s="29">
        <f>AP41</f>
        <v>11200</v>
      </c>
      <c r="BY41" s="82">
        <v>2589.7999999999997</v>
      </c>
      <c r="BZ41" s="82">
        <v>2084.4</v>
      </c>
      <c r="CA41" s="4">
        <v>6817</v>
      </c>
      <c r="CB41" s="4">
        <f t="shared" si="1"/>
        <v>3982</v>
      </c>
      <c r="CC41" s="34" t="str">
        <f t="shared" si="33"/>
        <v>0</v>
      </c>
      <c r="CD41" s="35">
        <f t="shared" si="3"/>
        <v>0</v>
      </c>
      <c r="CE41" s="34">
        <f t="shared" si="4"/>
        <v>1</v>
      </c>
      <c r="CF41" s="35">
        <f t="shared" si="5"/>
        <v>17584</v>
      </c>
      <c r="CG41" s="35">
        <f t="shared" si="22"/>
        <v>1</v>
      </c>
      <c r="CH41" s="35">
        <f t="shared" si="23"/>
        <v>17584</v>
      </c>
      <c r="CI41" s="22">
        <v>32</v>
      </c>
      <c r="CJ41" s="217" t="str">
        <f t="shared" si="24"/>
        <v>0</v>
      </c>
      <c r="CK41" s="217" t="str">
        <f t="shared" si="25"/>
        <v>0</v>
      </c>
      <c r="CL41" s="218">
        <f t="shared" si="26"/>
        <v>8.9105389314157577</v>
      </c>
      <c r="CM41" s="219" t="str">
        <f t="shared" si="27"/>
        <v>0</v>
      </c>
      <c r="CN41" s="219" t="str">
        <f t="shared" si="28"/>
        <v>0</v>
      </c>
      <c r="CO41" s="218">
        <f t="shared" si="29"/>
        <v>24.906935237123918</v>
      </c>
      <c r="CP41" s="97">
        <v>1</v>
      </c>
      <c r="CQ41" s="97">
        <v>0</v>
      </c>
      <c r="CR41" s="97">
        <v>0</v>
      </c>
      <c r="CS41" s="97">
        <v>0</v>
      </c>
      <c r="CT41" s="97">
        <v>4</v>
      </c>
      <c r="CU41" s="97">
        <v>0</v>
      </c>
      <c r="CV41" s="97">
        <v>0</v>
      </c>
      <c r="CW41" s="97">
        <v>0</v>
      </c>
      <c r="CX41" s="97">
        <v>0</v>
      </c>
      <c r="CY41" s="94">
        <v>132</v>
      </c>
      <c r="CZ41" s="95">
        <v>124</v>
      </c>
      <c r="DA41" s="94">
        <v>8</v>
      </c>
      <c r="DB41" s="97">
        <v>121</v>
      </c>
      <c r="DC41" s="97">
        <v>64</v>
      </c>
      <c r="DD41" s="221">
        <v>127</v>
      </c>
      <c r="DE41" s="97">
        <v>66</v>
      </c>
      <c r="DF41" s="97">
        <v>64</v>
      </c>
      <c r="DG41" s="221">
        <v>127</v>
      </c>
      <c r="DH41" s="97">
        <v>66</v>
      </c>
      <c r="DI41" s="97">
        <v>6</v>
      </c>
      <c r="DJ41" s="97">
        <v>2</v>
      </c>
      <c r="DK41" s="94">
        <v>8</v>
      </c>
      <c r="DL41" s="97">
        <v>2</v>
      </c>
      <c r="DM41" s="97">
        <v>2</v>
      </c>
      <c r="DN41" s="94">
        <v>8</v>
      </c>
      <c r="DO41" s="97">
        <v>2</v>
      </c>
      <c r="DP41" s="92">
        <f t="shared" si="6"/>
        <v>132</v>
      </c>
      <c r="DQ41" s="97">
        <v>132</v>
      </c>
      <c r="DX41" s="105"/>
      <c r="DY41" s="104"/>
    </row>
    <row r="42" spans="1:129">
      <c r="A42" s="24" t="s">
        <v>92</v>
      </c>
      <c r="B42" s="25">
        <v>36</v>
      </c>
      <c r="C42" s="3" t="s">
        <v>89</v>
      </c>
      <c r="D42" s="26">
        <v>1956</v>
      </c>
      <c r="E42" s="27"/>
      <c r="F42" s="27" t="s">
        <v>29</v>
      </c>
      <c r="G42" s="28">
        <v>1</v>
      </c>
      <c r="H42" s="27">
        <v>4</v>
      </c>
      <c r="I42" s="27" t="s">
        <v>96</v>
      </c>
      <c r="J42" s="29">
        <v>22481</v>
      </c>
      <c r="K42" s="29">
        <v>1728</v>
      </c>
      <c r="L42" s="29">
        <v>2038</v>
      </c>
      <c r="M42" s="29"/>
      <c r="N42" s="29">
        <f>50+1+1</f>
        <v>52</v>
      </c>
      <c r="O42" s="29">
        <f>135+2+5</f>
        <v>142</v>
      </c>
      <c r="P42" s="29">
        <v>56</v>
      </c>
      <c r="Q42" s="6">
        <v>122</v>
      </c>
      <c r="R42" s="38">
        <f>3787.4+56.5+116.8</f>
        <v>3960.7000000000003</v>
      </c>
      <c r="S42" s="200">
        <f>2279.1+32.7+81.3</f>
        <v>2393.1</v>
      </c>
      <c r="T42" s="6">
        <f t="shared" si="7"/>
        <v>49</v>
      </c>
      <c r="U42" s="30">
        <f t="shared" si="8"/>
        <v>3726.2000000000003</v>
      </c>
      <c r="V42" s="30">
        <f t="shared" si="9"/>
        <v>2244.5</v>
      </c>
      <c r="W42" s="10">
        <v>3</v>
      </c>
      <c r="X42" s="80">
        <v>234.5</v>
      </c>
      <c r="Y42" s="80">
        <v>148.6</v>
      </c>
      <c r="Z42" s="31"/>
      <c r="AA42" s="31"/>
      <c r="AB42" s="31"/>
      <c r="AC42" s="80">
        <f t="shared" si="10"/>
        <v>856.2</v>
      </c>
      <c r="AD42" s="38">
        <f t="shared" si="11"/>
        <v>337.40000000000003</v>
      </c>
      <c r="AE42" s="87"/>
      <c r="AF42" s="38">
        <f>313.6+21.6+2.2</f>
        <v>337.40000000000003</v>
      </c>
      <c r="AG42" s="87">
        <f>735.3-21.6-56.5-116.8-21.6</f>
        <v>518.79999999999995</v>
      </c>
      <c r="AH42" s="33"/>
      <c r="AI42" s="87">
        <f t="shared" si="30"/>
        <v>4816.9000000000005</v>
      </c>
      <c r="AJ42" s="29"/>
      <c r="AK42" s="29"/>
      <c r="AL42" s="29">
        <v>4</v>
      </c>
      <c r="AM42" s="29"/>
      <c r="AN42" s="29"/>
      <c r="AO42" s="29">
        <v>1</v>
      </c>
      <c r="AP42" s="29">
        <v>3999</v>
      </c>
      <c r="AQ42" s="29">
        <v>585</v>
      </c>
      <c r="AR42" s="29">
        <v>695</v>
      </c>
      <c r="AS42" s="29">
        <v>254</v>
      </c>
      <c r="AT42" s="29">
        <v>120</v>
      </c>
      <c r="AU42" s="29">
        <f>SUM(AV42+AW42)</f>
        <v>3380</v>
      </c>
      <c r="AV42" s="29"/>
      <c r="AW42" s="29">
        <v>3380</v>
      </c>
      <c r="AX42" s="29"/>
      <c r="AY42" s="29">
        <v>103</v>
      </c>
      <c r="AZ42" s="29">
        <v>1703</v>
      </c>
      <c r="BA42" s="29">
        <v>1703</v>
      </c>
      <c r="BB42" s="29">
        <v>16</v>
      </c>
      <c r="BC42" s="29">
        <v>12</v>
      </c>
      <c r="BD42" s="29">
        <v>210</v>
      </c>
      <c r="BE42" s="29">
        <v>507</v>
      </c>
      <c r="BF42" s="29"/>
      <c r="BG42" s="29">
        <v>4057</v>
      </c>
      <c r="BH42" s="29">
        <v>120</v>
      </c>
      <c r="BI42" s="29"/>
      <c r="BJ42" s="98">
        <f t="shared" si="13"/>
        <v>1</v>
      </c>
      <c r="BK42" s="98">
        <f t="shared" si="14"/>
        <v>3960.7000000000003</v>
      </c>
      <c r="BL42" s="98">
        <f t="shared" si="15"/>
        <v>2393.1</v>
      </c>
      <c r="BM42" s="98" t="str">
        <f t="shared" si="16"/>
        <v>0</v>
      </c>
      <c r="BN42" s="98" t="str">
        <f t="shared" si="17"/>
        <v>0</v>
      </c>
      <c r="BO42" s="98" t="str">
        <f t="shared" si="18"/>
        <v>0</v>
      </c>
      <c r="BP42" s="98" t="str">
        <f t="shared" si="19"/>
        <v>0</v>
      </c>
      <c r="BQ42" s="98" t="str">
        <f t="shared" si="20"/>
        <v>0</v>
      </c>
      <c r="BR42" s="98" t="str">
        <f t="shared" si="21"/>
        <v>0</v>
      </c>
      <c r="BS42" s="29"/>
      <c r="BT42" s="29">
        <v>2</v>
      </c>
      <c r="BU42" s="29">
        <f>BA42</f>
        <v>1703</v>
      </c>
      <c r="BV42" s="29">
        <v>4270</v>
      </c>
      <c r="BW42" s="29"/>
      <c r="BX42" s="29">
        <f>AP42</f>
        <v>3999</v>
      </c>
      <c r="BY42" s="82">
        <v>450.7</v>
      </c>
      <c r="BZ42" s="82">
        <v>412.3</v>
      </c>
      <c r="CA42" s="4">
        <v>3344</v>
      </c>
      <c r="CB42" s="4">
        <f t="shared" si="1"/>
        <v>1616</v>
      </c>
      <c r="CC42" s="34" t="str">
        <f t="shared" si="33"/>
        <v>0</v>
      </c>
      <c r="CD42" s="35">
        <f t="shared" si="3"/>
        <v>0</v>
      </c>
      <c r="CE42" s="34">
        <f t="shared" si="4"/>
        <v>1</v>
      </c>
      <c r="CF42" s="35">
        <f t="shared" si="5"/>
        <v>3380</v>
      </c>
      <c r="CG42" s="35">
        <f t="shared" si="22"/>
        <v>1</v>
      </c>
      <c r="CH42" s="35">
        <f t="shared" si="23"/>
        <v>3380</v>
      </c>
      <c r="CI42" s="22">
        <v>35</v>
      </c>
      <c r="CJ42" s="217" t="str">
        <f t="shared" si="24"/>
        <v>0</v>
      </c>
      <c r="CK42" s="217" t="str">
        <f t="shared" si="25"/>
        <v>0</v>
      </c>
      <c r="CL42" s="218">
        <f t="shared" si="26"/>
        <v>5.9206705885323299</v>
      </c>
      <c r="CM42" s="219" t="str">
        <f t="shared" si="27"/>
        <v>0</v>
      </c>
      <c r="CN42" s="219" t="str">
        <f t="shared" si="28"/>
        <v>0</v>
      </c>
      <c r="CO42" s="218">
        <f t="shared" si="29"/>
        <v>11.872781249351243</v>
      </c>
      <c r="CP42" s="97">
        <v>1</v>
      </c>
      <c r="CQ42" s="97">
        <v>0</v>
      </c>
      <c r="CR42" s="97">
        <v>0</v>
      </c>
      <c r="CS42" s="97">
        <v>0</v>
      </c>
      <c r="CT42" s="97">
        <v>2</v>
      </c>
      <c r="CU42" s="97">
        <v>0</v>
      </c>
      <c r="CV42" s="97">
        <v>0</v>
      </c>
      <c r="CW42" s="97">
        <v>0</v>
      </c>
      <c r="CX42" s="97">
        <v>0</v>
      </c>
      <c r="CY42" s="94">
        <v>50</v>
      </c>
      <c r="CZ42" s="95">
        <v>48</v>
      </c>
      <c r="DA42" s="94">
        <v>2</v>
      </c>
      <c r="DB42" s="97">
        <v>45</v>
      </c>
      <c r="DC42" s="97">
        <v>20</v>
      </c>
      <c r="DD42" s="97">
        <v>79</v>
      </c>
      <c r="DE42" s="97">
        <v>23</v>
      </c>
      <c r="DF42" s="97">
        <v>20</v>
      </c>
      <c r="DG42" s="97">
        <v>79</v>
      </c>
      <c r="DH42" s="97">
        <v>24</v>
      </c>
      <c r="DI42" s="97">
        <v>2</v>
      </c>
      <c r="DJ42" s="97">
        <v>0</v>
      </c>
      <c r="DK42" s="94">
        <v>2</v>
      </c>
      <c r="DL42" s="97">
        <v>0</v>
      </c>
      <c r="DM42" s="97">
        <v>0</v>
      </c>
      <c r="DN42" s="94">
        <v>2</v>
      </c>
      <c r="DO42" s="97">
        <v>0</v>
      </c>
      <c r="DP42" s="92">
        <f t="shared" si="6"/>
        <v>50</v>
      </c>
      <c r="DQ42" s="97">
        <v>20</v>
      </c>
      <c r="DX42" s="105"/>
      <c r="DY42" s="104"/>
    </row>
    <row r="43" spans="1:129">
      <c r="A43" s="24" t="s">
        <v>92</v>
      </c>
      <c r="B43" s="25">
        <v>37</v>
      </c>
      <c r="C43" s="3" t="s">
        <v>90</v>
      </c>
      <c r="D43" s="26">
        <v>1956</v>
      </c>
      <c r="E43" s="27"/>
      <c r="F43" s="27" t="s">
        <v>29</v>
      </c>
      <c r="G43" s="28">
        <v>1</v>
      </c>
      <c r="H43" s="27">
        <v>5</v>
      </c>
      <c r="I43" s="27" t="s">
        <v>96</v>
      </c>
      <c r="J43" s="29">
        <v>12249</v>
      </c>
      <c r="K43" s="29">
        <v>740</v>
      </c>
      <c r="L43" s="29">
        <v>1872</v>
      </c>
      <c r="M43" s="29"/>
      <c r="N43" s="29">
        <v>38</v>
      </c>
      <c r="O43" s="29">
        <v>94</v>
      </c>
      <c r="P43" s="29">
        <v>39</v>
      </c>
      <c r="Q43" s="6">
        <v>82</v>
      </c>
      <c r="R43" s="38">
        <v>2410.6999999999998</v>
      </c>
      <c r="S43" s="32">
        <v>1483.1</v>
      </c>
      <c r="T43" s="6">
        <f t="shared" si="7"/>
        <v>35</v>
      </c>
      <c r="U43" s="30">
        <f t="shared" si="8"/>
        <v>2227.6</v>
      </c>
      <c r="V43" s="30">
        <f t="shared" si="9"/>
        <v>1373.6000000000001</v>
      </c>
      <c r="W43" s="10">
        <v>3</v>
      </c>
      <c r="X43" s="80">
        <v>183.1</v>
      </c>
      <c r="Y43" s="80">
        <v>109.49999999999977</v>
      </c>
      <c r="Z43" s="31"/>
      <c r="AA43" s="31"/>
      <c r="AB43" s="31"/>
      <c r="AC43" s="80">
        <f t="shared" si="10"/>
        <v>113</v>
      </c>
      <c r="AD43" s="38">
        <f t="shared" si="11"/>
        <v>0</v>
      </c>
      <c r="AE43" s="87"/>
      <c r="AF43" s="38">
        <v>0</v>
      </c>
      <c r="AG43" s="87">
        <v>113</v>
      </c>
      <c r="AH43" s="33"/>
      <c r="AI43" s="87">
        <f t="shared" si="30"/>
        <v>2523.6999999999998</v>
      </c>
      <c r="AJ43" s="29"/>
      <c r="AK43" s="29"/>
      <c r="AL43" s="29">
        <v>2</v>
      </c>
      <c r="AM43" s="29"/>
      <c r="AN43" s="29"/>
      <c r="AO43" s="29">
        <v>1</v>
      </c>
      <c r="AP43" s="29">
        <v>2180</v>
      </c>
      <c r="AQ43" s="29">
        <v>585</v>
      </c>
      <c r="AR43" s="29">
        <v>145</v>
      </c>
      <c r="AS43" s="29">
        <v>320</v>
      </c>
      <c r="AT43" s="29">
        <v>60</v>
      </c>
      <c r="AU43" s="29">
        <f>SUM(AV43+AW43)</f>
        <v>1986</v>
      </c>
      <c r="AV43" s="29"/>
      <c r="AW43" s="29">
        <v>1986</v>
      </c>
      <c r="AX43" s="29"/>
      <c r="AY43" s="29">
        <v>50</v>
      </c>
      <c r="AZ43" s="29">
        <v>738</v>
      </c>
      <c r="BA43" s="29">
        <v>738</v>
      </c>
      <c r="BB43" s="29">
        <v>10</v>
      </c>
      <c r="BC43" s="29">
        <v>4</v>
      </c>
      <c r="BD43" s="29">
        <v>103</v>
      </c>
      <c r="BE43" s="29">
        <v>379</v>
      </c>
      <c r="BF43" s="29"/>
      <c r="BG43" s="29">
        <v>2862</v>
      </c>
      <c r="BH43" s="29">
        <v>76</v>
      </c>
      <c r="BI43" s="29"/>
      <c r="BJ43" s="98">
        <f t="shared" si="13"/>
        <v>1</v>
      </c>
      <c r="BK43" s="98">
        <f t="shared" si="14"/>
        <v>2410.6999999999998</v>
      </c>
      <c r="BL43" s="98">
        <f t="shared" si="15"/>
        <v>1483.1</v>
      </c>
      <c r="BM43" s="98" t="str">
        <f t="shared" si="16"/>
        <v>0</v>
      </c>
      <c r="BN43" s="98" t="str">
        <f t="shared" si="17"/>
        <v>0</v>
      </c>
      <c r="BO43" s="98" t="str">
        <f t="shared" si="18"/>
        <v>0</v>
      </c>
      <c r="BP43" s="98" t="str">
        <f t="shared" si="19"/>
        <v>0</v>
      </c>
      <c r="BQ43" s="98" t="str">
        <f t="shared" si="20"/>
        <v>0</v>
      </c>
      <c r="BR43" s="98" t="str">
        <f t="shared" si="21"/>
        <v>0</v>
      </c>
      <c r="BS43" s="29"/>
      <c r="BT43" s="29">
        <v>1</v>
      </c>
      <c r="BU43" s="29">
        <f>BA43</f>
        <v>738</v>
      </c>
      <c r="BV43" s="29">
        <v>2610</v>
      </c>
      <c r="BW43" s="29"/>
      <c r="BX43" s="29">
        <f>AP43</f>
        <v>2180</v>
      </c>
      <c r="BY43" s="82">
        <v>240.20000000000005</v>
      </c>
      <c r="BZ43" s="82">
        <v>226.4</v>
      </c>
      <c r="CA43" s="4">
        <v>2141</v>
      </c>
      <c r="CB43" s="4">
        <f t="shared" si="1"/>
        <v>1401</v>
      </c>
      <c r="CC43" s="34" t="str">
        <f t="shared" si="33"/>
        <v>0</v>
      </c>
      <c r="CD43" s="35">
        <f t="shared" si="3"/>
        <v>0</v>
      </c>
      <c r="CE43" s="34">
        <f t="shared" si="4"/>
        <v>1</v>
      </c>
      <c r="CF43" s="35">
        <f t="shared" si="5"/>
        <v>1986</v>
      </c>
      <c r="CG43" s="35">
        <f t="shared" si="22"/>
        <v>1</v>
      </c>
      <c r="CH43" s="35">
        <f t="shared" si="23"/>
        <v>1986</v>
      </c>
      <c r="CI43" s="22">
        <v>47</v>
      </c>
      <c r="CJ43" s="217" t="str">
        <f t="shared" si="24"/>
        <v>0</v>
      </c>
      <c r="CK43" s="217" t="str">
        <f t="shared" si="25"/>
        <v>0</v>
      </c>
      <c r="CL43" s="218">
        <f t="shared" si="26"/>
        <v>7.5953042684697394</v>
      </c>
      <c r="CM43" s="219" t="str">
        <f t="shared" si="27"/>
        <v>0</v>
      </c>
      <c r="CN43" s="219" t="str">
        <f t="shared" si="28"/>
        <v>0</v>
      </c>
      <c r="CO43" s="218">
        <f t="shared" si="29"/>
        <v>7.2552205095692841</v>
      </c>
      <c r="CP43" s="97">
        <v>1</v>
      </c>
      <c r="CQ43" s="97">
        <v>0</v>
      </c>
      <c r="CR43" s="97">
        <v>0</v>
      </c>
      <c r="CS43" s="97">
        <v>0</v>
      </c>
      <c r="CT43" s="97">
        <v>1</v>
      </c>
      <c r="CU43" s="97">
        <v>0</v>
      </c>
      <c r="CV43" s="97">
        <v>0</v>
      </c>
      <c r="CW43" s="97">
        <v>0</v>
      </c>
      <c r="CX43" s="97">
        <v>0</v>
      </c>
      <c r="CY43" s="94">
        <v>38</v>
      </c>
      <c r="CZ43" s="95">
        <v>35</v>
      </c>
      <c r="DA43" s="94">
        <v>3</v>
      </c>
      <c r="DB43" s="97">
        <v>35</v>
      </c>
      <c r="DC43" s="97">
        <v>14</v>
      </c>
      <c r="DD43" s="97">
        <v>58</v>
      </c>
      <c r="DE43" s="97">
        <v>14</v>
      </c>
      <c r="DF43" s="97">
        <v>14</v>
      </c>
      <c r="DG43" s="97">
        <v>58</v>
      </c>
      <c r="DH43" s="97">
        <v>14</v>
      </c>
      <c r="DI43" s="97">
        <v>3</v>
      </c>
      <c r="DJ43" s="97">
        <v>0</v>
      </c>
      <c r="DK43" s="94">
        <v>3</v>
      </c>
      <c r="DL43" s="97">
        <v>0</v>
      </c>
      <c r="DM43" s="97">
        <v>0</v>
      </c>
      <c r="DN43" s="94">
        <v>3</v>
      </c>
      <c r="DO43" s="97">
        <v>0</v>
      </c>
      <c r="DP43" s="92">
        <f t="shared" si="6"/>
        <v>38</v>
      </c>
      <c r="DQ43" s="97">
        <v>21</v>
      </c>
      <c r="DX43" s="105"/>
      <c r="DY43" s="104"/>
    </row>
    <row r="44" spans="1:129">
      <c r="A44" s="24" t="s">
        <v>92</v>
      </c>
      <c r="B44" s="25">
        <v>38</v>
      </c>
      <c r="C44" s="3" t="s">
        <v>67</v>
      </c>
      <c r="D44" s="26">
        <v>1955</v>
      </c>
      <c r="E44" s="27"/>
      <c r="F44" s="27" t="s">
        <v>29</v>
      </c>
      <c r="G44" s="28">
        <v>1</v>
      </c>
      <c r="H44" s="27">
        <v>4</v>
      </c>
      <c r="I44" s="27" t="s">
        <v>96</v>
      </c>
      <c r="J44" s="29">
        <v>22319</v>
      </c>
      <c r="K44" s="29">
        <v>1743</v>
      </c>
      <c r="L44" s="29">
        <v>2090</v>
      </c>
      <c r="M44" s="29"/>
      <c r="N44" s="29">
        <v>52</v>
      </c>
      <c r="O44" s="29">
        <v>145</v>
      </c>
      <c r="P44" s="29">
        <v>55</v>
      </c>
      <c r="Q44" s="6">
        <v>116</v>
      </c>
      <c r="R44" s="38">
        <v>4028.44</v>
      </c>
      <c r="S44" s="32">
        <v>2531.62</v>
      </c>
      <c r="T44" s="6">
        <f t="shared" si="7"/>
        <v>47</v>
      </c>
      <c r="U44" s="30">
        <f t="shared" si="8"/>
        <v>3669.92</v>
      </c>
      <c r="V44" s="30">
        <f t="shared" si="9"/>
        <v>2236.56</v>
      </c>
      <c r="W44" s="10">
        <v>5</v>
      </c>
      <c r="X44" s="80">
        <v>358.52</v>
      </c>
      <c r="Y44" s="80">
        <v>295.06</v>
      </c>
      <c r="Z44" s="31"/>
      <c r="AA44" s="31"/>
      <c r="AB44" s="31"/>
      <c r="AC44" s="80">
        <f t="shared" si="10"/>
        <v>855.8</v>
      </c>
      <c r="AD44" s="38">
        <f t="shared" si="11"/>
        <v>855.8</v>
      </c>
      <c r="AE44" s="87"/>
      <c r="AF44" s="38">
        <f>883-27.2</f>
        <v>855.8</v>
      </c>
      <c r="AG44" s="87"/>
      <c r="AH44" s="33"/>
      <c r="AI44" s="87">
        <f t="shared" si="30"/>
        <v>4884.24</v>
      </c>
      <c r="AJ44" s="29"/>
      <c r="AK44" s="29"/>
      <c r="AL44" s="29">
        <v>4</v>
      </c>
      <c r="AM44" s="29"/>
      <c r="AN44" s="29"/>
      <c r="AO44" s="29">
        <v>1</v>
      </c>
      <c r="AP44" s="29">
        <v>3900</v>
      </c>
      <c r="AQ44" s="29">
        <v>585</v>
      </c>
      <c r="AR44" s="29">
        <v>725</v>
      </c>
      <c r="AS44" s="29">
        <v>380</v>
      </c>
      <c r="AT44" s="29">
        <v>120</v>
      </c>
      <c r="AU44" s="29">
        <f>SUM(AV44+AW44)</f>
        <v>3380</v>
      </c>
      <c r="AV44" s="29"/>
      <c r="AW44" s="29">
        <v>3380</v>
      </c>
      <c r="AX44" s="29"/>
      <c r="AY44" s="29">
        <v>107</v>
      </c>
      <c r="AZ44" s="29">
        <v>1691</v>
      </c>
      <c r="BA44" s="29">
        <v>1691</v>
      </c>
      <c r="BB44" s="29">
        <v>20</v>
      </c>
      <c r="BC44" s="29">
        <v>8</v>
      </c>
      <c r="BD44" s="29">
        <v>191</v>
      </c>
      <c r="BE44" s="29">
        <v>497</v>
      </c>
      <c r="BF44" s="29"/>
      <c r="BG44" s="29">
        <v>2616</v>
      </c>
      <c r="BH44" s="29">
        <v>76</v>
      </c>
      <c r="BI44" s="29"/>
      <c r="BJ44" s="98">
        <f t="shared" si="13"/>
        <v>1</v>
      </c>
      <c r="BK44" s="98">
        <f t="shared" si="14"/>
        <v>4028.44</v>
      </c>
      <c r="BL44" s="98">
        <f t="shared" si="15"/>
        <v>2531.62</v>
      </c>
      <c r="BM44" s="98" t="str">
        <f t="shared" si="16"/>
        <v>0</v>
      </c>
      <c r="BN44" s="98" t="str">
        <f t="shared" si="17"/>
        <v>0</v>
      </c>
      <c r="BO44" s="98" t="str">
        <f t="shared" si="18"/>
        <v>0</v>
      </c>
      <c r="BP44" s="98" t="str">
        <f t="shared" si="19"/>
        <v>0</v>
      </c>
      <c r="BQ44" s="98" t="str">
        <f t="shared" si="20"/>
        <v>0</v>
      </c>
      <c r="BR44" s="98" t="str">
        <f t="shared" si="21"/>
        <v>0</v>
      </c>
      <c r="BS44" s="29"/>
      <c r="BT44" s="29">
        <v>6</v>
      </c>
      <c r="BU44" s="29">
        <f>BA44</f>
        <v>1691</v>
      </c>
      <c r="BV44" s="29">
        <v>4190</v>
      </c>
      <c r="BW44" s="29"/>
      <c r="BX44" s="29">
        <f>AP44</f>
        <v>3900</v>
      </c>
      <c r="BY44" s="82">
        <v>450.86</v>
      </c>
      <c r="BZ44" s="82">
        <v>450.86</v>
      </c>
      <c r="CA44" s="4">
        <v>3565</v>
      </c>
      <c r="CB44" s="4">
        <f t="shared" si="1"/>
        <v>1822</v>
      </c>
      <c r="CC44" s="34" t="str">
        <f t="shared" si="33"/>
        <v>0</v>
      </c>
      <c r="CD44" s="35">
        <f t="shared" si="3"/>
        <v>0</v>
      </c>
      <c r="CE44" s="34">
        <f t="shared" si="4"/>
        <v>1</v>
      </c>
      <c r="CF44" s="35">
        <f t="shared" si="5"/>
        <v>3380</v>
      </c>
      <c r="CG44" s="35">
        <f t="shared" si="22"/>
        <v>1</v>
      </c>
      <c r="CH44" s="35">
        <f t="shared" si="23"/>
        <v>3380</v>
      </c>
      <c r="CI44" s="22">
        <v>32</v>
      </c>
      <c r="CJ44" s="217" t="str">
        <f t="shared" si="24"/>
        <v>0</v>
      </c>
      <c r="CK44" s="217" t="str">
        <f t="shared" si="25"/>
        <v>0</v>
      </c>
      <c r="CL44" s="218">
        <f t="shared" si="26"/>
        <v>8.8997229696855342</v>
      </c>
      <c r="CM44" s="219" t="str">
        <f t="shared" si="27"/>
        <v>0</v>
      </c>
      <c r="CN44" s="219" t="str">
        <f t="shared" si="28"/>
        <v>0</v>
      </c>
      <c r="CO44" s="218">
        <f t="shared" si="29"/>
        <v>24.862005143072412</v>
      </c>
      <c r="CP44" s="97">
        <v>1</v>
      </c>
      <c r="CQ44" s="97">
        <v>0</v>
      </c>
      <c r="CR44" s="97">
        <v>0</v>
      </c>
      <c r="CS44" s="97">
        <v>0</v>
      </c>
      <c r="CT44" s="97">
        <v>2</v>
      </c>
      <c r="CU44" s="97">
        <v>0</v>
      </c>
      <c r="CV44" s="97">
        <v>0</v>
      </c>
      <c r="CW44" s="97">
        <v>0</v>
      </c>
      <c r="CX44" s="97">
        <v>0</v>
      </c>
      <c r="CY44" s="94">
        <v>52</v>
      </c>
      <c r="CZ44" s="95">
        <v>49</v>
      </c>
      <c r="DA44" s="94">
        <v>3</v>
      </c>
      <c r="DB44" s="97">
        <v>44</v>
      </c>
      <c r="DC44" s="97">
        <v>15</v>
      </c>
      <c r="DD44" s="97">
        <v>76</v>
      </c>
      <c r="DE44" s="97">
        <v>16</v>
      </c>
      <c r="DF44" s="97">
        <v>15</v>
      </c>
      <c r="DG44" s="97">
        <v>76</v>
      </c>
      <c r="DH44" s="97">
        <v>18</v>
      </c>
      <c r="DI44" s="97">
        <v>3</v>
      </c>
      <c r="DJ44" s="97">
        <v>0</v>
      </c>
      <c r="DK44" s="94">
        <v>3</v>
      </c>
      <c r="DL44" s="97">
        <v>0</v>
      </c>
      <c r="DM44" s="97">
        <v>0</v>
      </c>
      <c r="DN44" s="94">
        <v>3</v>
      </c>
      <c r="DO44" s="97">
        <v>0</v>
      </c>
      <c r="DP44" s="92">
        <f t="shared" si="6"/>
        <v>52</v>
      </c>
      <c r="DQ44" s="97">
        <v>19</v>
      </c>
      <c r="DX44" s="105"/>
      <c r="DY44" s="104"/>
    </row>
    <row r="45" spans="1:129">
      <c r="A45" s="24" t="s">
        <v>93</v>
      </c>
      <c r="B45" s="25">
        <v>39</v>
      </c>
      <c r="C45" s="24" t="s">
        <v>122</v>
      </c>
      <c r="D45" s="235">
        <v>1975</v>
      </c>
      <c r="E45" s="236"/>
      <c r="F45" s="237" t="s">
        <v>103</v>
      </c>
      <c r="G45" s="217">
        <v>1</v>
      </c>
      <c r="H45" s="236">
        <v>9</v>
      </c>
      <c r="I45" s="236" t="s">
        <v>95</v>
      </c>
      <c r="J45" s="10">
        <v>28825</v>
      </c>
      <c r="K45" s="10">
        <v>1202</v>
      </c>
      <c r="L45" s="10">
        <v>1396</v>
      </c>
      <c r="M45" s="10"/>
      <c r="N45" s="10">
        <f>343+2+2+1</f>
        <v>348</v>
      </c>
      <c r="O45" s="10">
        <f>343+2+2+1</f>
        <v>348</v>
      </c>
      <c r="P45" s="10">
        <v>344</v>
      </c>
      <c r="Q45" s="10">
        <v>447</v>
      </c>
      <c r="R45" s="238">
        <f>6487.1+37.6+16.4+21.5+21.6</f>
        <v>6584.2000000000007</v>
      </c>
      <c r="S45" s="239">
        <f>4710.6+11.1+16.3+16.4</f>
        <v>4754.4000000000005</v>
      </c>
      <c r="T45" s="10">
        <f t="shared" si="7"/>
        <v>162</v>
      </c>
      <c r="U45" s="41">
        <f t="shared" si="8"/>
        <v>3137.1000000000008</v>
      </c>
      <c r="V45" s="41">
        <f t="shared" si="9"/>
        <v>2281.7000000000007</v>
      </c>
      <c r="W45" s="10">
        <v>186</v>
      </c>
      <c r="X45" s="80">
        <v>3447.1</v>
      </c>
      <c r="Y45" s="80">
        <v>2472.6999999999998</v>
      </c>
      <c r="Z45" s="31"/>
      <c r="AA45" s="31"/>
      <c r="AB45" s="31"/>
      <c r="AC45" s="80">
        <f t="shared" si="10"/>
        <v>0</v>
      </c>
      <c r="AD45" s="238">
        <f t="shared" si="11"/>
        <v>0</v>
      </c>
      <c r="AE45" s="80"/>
      <c r="AF45" s="238">
        <f>113.78-16.68-37.6-16.4-21.5-21.6</f>
        <v>0</v>
      </c>
      <c r="AG45" s="80"/>
      <c r="AH45" s="31"/>
      <c r="AI45" s="87">
        <f t="shared" si="30"/>
        <v>6584.2000000000007</v>
      </c>
      <c r="AJ45" s="10"/>
      <c r="AK45" s="10">
        <v>2</v>
      </c>
      <c r="AL45" s="10">
        <v>2</v>
      </c>
      <c r="AM45" s="10">
        <v>1</v>
      </c>
      <c r="AN45" s="10"/>
      <c r="AO45" s="10">
        <v>1</v>
      </c>
      <c r="AP45" s="10">
        <v>4526</v>
      </c>
      <c r="AQ45" s="10"/>
      <c r="AR45" s="10">
        <v>390</v>
      </c>
      <c r="AS45" s="10">
        <v>274</v>
      </c>
      <c r="AT45" s="10">
        <v>76</v>
      </c>
      <c r="AU45" s="10">
        <v>7263</v>
      </c>
      <c r="AV45" s="10"/>
      <c r="AW45" s="10">
        <v>7263</v>
      </c>
      <c r="AX45" s="10">
        <v>3265</v>
      </c>
      <c r="AY45" s="10">
        <v>228</v>
      </c>
      <c r="AZ45" s="10">
        <v>1164</v>
      </c>
      <c r="BA45" s="10">
        <v>1164</v>
      </c>
      <c r="BB45" s="10">
        <v>34</v>
      </c>
      <c r="BC45" s="10">
        <v>54</v>
      </c>
      <c r="BD45" s="10">
        <v>378</v>
      </c>
      <c r="BE45" s="10">
        <v>1097</v>
      </c>
      <c r="BF45" s="10">
        <v>1</v>
      </c>
      <c r="BG45" s="10">
        <v>17000</v>
      </c>
      <c r="BH45" s="10">
        <v>710</v>
      </c>
      <c r="BI45" s="10">
        <v>200</v>
      </c>
      <c r="BJ45" s="98" t="str">
        <f t="shared" si="13"/>
        <v>0</v>
      </c>
      <c r="BK45" s="98" t="str">
        <f t="shared" si="14"/>
        <v>0</v>
      </c>
      <c r="BL45" s="98" t="str">
        <f t="shared" si="15"/>
        <v>0</v>
      </c>
      <c r="BM45" s="98">
        <f t="shared" si="16"/>
        <v>1</v>
      </c>
      <c r="BN45" s="98">
        <f t="shared" si="17"/>
        <v>6584.2000000000007</v>
      </c>
      <c r="BO45" s="98">
        <f t="shared" si="18"/>
        <v>4754.4000000000005</v>
      </c>
      <c r="BP45" s="98" t="str">
        <f t="shared" si="19"/>
        <v>0</v>
      </c>
      <c r="BQ45" s="98" t="str">
        <f t="shared" si="20"/>
        <v>0</v>
      </c>
      <c r="BR45" s="98" t="str">
        <f t="shared" si="21"/>
        <v>0</v>
      </c>
      <c r="BS45" s="10"/>
      <c r="BT45" s="10"/>
      <c r="BU45" s="10"/>
      <c r="BV45" s="10"/>
      <c r="BW45" s="10"/>
      <c r="BX45" s="29"/>
      <c r="BY45" s="82">
        <v>1816.4</v>
      </c>
      <c r="BZ45" s="82">
        <v>1816.4</v>
      </c>
      <c r="CA45" s="4">
        <v>3170</v>
      </c>
      <c r="CB45" s="4">
        <f t="shared" si="1"/>
        <v>1968</v>
      </c>
      <c r="CC45" s="34" t="str">
        <f t="shared" si="33"/>
        <v>0</v>
      </c>
      <c r="CD45" s="35">
        <f t="shared" si="3"/>
        <v>0</v>
      </c>
      <c r="CE45" s="34">
        <f t="shared" si="4"/>
        <v>1</v>
      </c>
      <c r="CF45" s="35">
        <f t="shared" si="5"/>
        <v>7263</v>
      </c>
      <c r="CG45" s="35">
        <f t="shared" si="22"/>
        <v>1</v>
      </c>
      <c r="CH45" s="35">
        <f t="shared" si="23"/>
        <v>7263</v>
      </c>
      <c r="CI45" s="22">
        <v>70</v>
      </c>
      <c r="CJ45" s="217">
        <f t="shared" si="24"/>
        <v>1</v>
      </c>
      <c r="CK45" s="217">
        <f t="shared" si="25"/>
        <v>6584.2000000000007</v>
      </c>
      <c r="CL45" s="218">
        <f t="shared" si="26"/>
        <v>52.354120470216571</v>
      </c>
      <c r="CM45" s="219">
        <f t="shared" si="27"/>
        <v>1</v>
      </c>
      <c r="CN45" s="219">
        <f t="shared" si="28"/>
        <v>6584.2000000000007</v>
      </c>
      <c r="CO45" s="218">
        <f t="shared" si="29"/>
        <v>52.354120470216571</v>
      </c>
      <c r="CP45" s="97">
        <v>1</v>
      </c>
      <c r="CQ45" s="97">
        <v>0</v>
      </c>
      <c r="CR45" s="97">
        <v>0</v>
      </c>
      <c r="CS45" s="97">
        <v>1</v>
      </c>
      <c r="CT45" s="97">
        <v>2</v>
      </c>
      <c r="CU45" s="97">
        <v>0</v>
      </c>
      <c r="CV45" s="97">
        <v>0</v>
      </c>
      <c r="CW45" s="97">
        <v>1</v>
      </c>
      <c r="CX45" s="97">
        <v>0</v>
      </c>
      <c r="CY45" s="94">
        <v>345</v>
      </c>
      <c r="CZ45" s="95">
        <v>185</v>
      </c>
      <c r="DA45" s="94">
        <v>160</v>
      </c>
      <c r="DB45" s="97">
        <v>85</v>
      </c>
      <c r="DC45" s="97">
        <v>45</v>
      </c>
      <c r="DD45" s="96">
        <v>185</v>
      </c>
      <c r="DE45" s="97">
        <v>45</v>
      </c>
      <c r="DF45" s="97">
        <v>45</v>
      </c>
      <c r="DG45" s="96">
        <v>185</v>
      </c>
      <c r="DH45" s="97">
        <v>45</v>
      </c>
      <c r="DI45" s="97">
        <v>41</v>
      </c>
      <c r="DJ45" s="97">
        <v>20</v>
      </c>
      <c r="DK45" s="94">
        <v>160</v>
      </c>
      <c r="DL45" s="97">
        <v>20</v>
      </c>
      <c r="DM45" s="97">
        <v>20</v>
      </c>
      <c r="DN45" s="94">
        <v>160</v>
      </c>
      <c r="DO45" s="97">
        <v>20</v>
      </c>
      <c r="DP45" s="92">
        <f t="shared" si="6"/>
        <v>345</v>
      </c>
      <c r="DQ45" s="97">
        <v>345</v>
      </c>
      <c r="DX45" s="105"/>
      <c r="DY45" s="104"/>
    </row>
    <row r="46" spans="1:129" s="37" customFormat="1">
      <c r="A46" s="24" t="s">
        <v>94</v>
      </c>
      <c r="B46" s="25">
        <v>40</v>
      </c>
      <c r="C46" s="24" t="s">
        <v>123</v>
      </c>
      <c r="D46" s="240">
        <v>1974</v>
      </c>
      <c r="E46" s="236"/>
      <c r="F46" s="237" t="s">
        <v>103</v>
      </c>
      <c r="G46" s="5">
        <v>1</v>
      </c>
      <c r="H46" s="241">
        <v>9</v>
      </c>
      <c r="I46" s="236" t="s">
        <v>95</v>
      </c>
      <c r="J46" s="5">
        <v>29080</v>
      </c>
      <c r="K46" s="5">
        <v>1208</v>
      </c>
      <c r="L46" s="5">
        <v>1407</v>
      </c>
      <c r="M46" s="5"/>
      <c r="N46" s="5">
        <f>345+1+1</f>
        <v>347</v>
      </c>
      <c r="O46" s="5">
        <f>345+1+1</f>
        <v>347</v>
      </c>
      <c r="P46" s="5">
        <v>345</v>
      </c>
      <c r="Q46" s="10">
        <v>356</v>
      </c>
      <c r="R46" s="242">
        <f>6582.84+21.68+16.44</f>
        <v>6620.96</v>
      </c>
      <c r="S46" s="42">
        <f>4837.3+16.36+11.74</f>
        <v>4865.3999999999996</v>
      </c>
      <c r="T46" s="10">
        <f t="shared" si="7"/>
        <v>141</v>
      </c>
      <c r="U46" s="42">
        <f t="shared" si="8"/>
        <v>2751.45</v>
      </c>
      <c r="V46" s="42">
        <f t="shared" si="9"/>
        <v>2015.5899999999997</v>
      </c>
      <c r="W46" s="10">
        <v>206</v>
      </c>
      <c r="X46" s="80">
        <v>3869.51</v>
      </c>
      <c r="Y46" s="80">
        <v>2849.81</v>
      </c>
      <c r="Z46" s="243"/>
      <c r="AA46" s="243"/>
      <c r="AB46" s="243"/>
      <c r="AC46" s="80">
        <f t="shared" si="10"/>
        <v>36.97999999999999</v>
      </c>
      <c r="AD46" s="244">
        <f t="shared" si="11"/>
        <v>36.97999999999999</v>
      </c>
      <c r="AE46" s="245"/>
      <c r="AF46" s="244">
        <f>75.1-21.68-16.44</f>
        <v>36.97999999999999</v>
      </c>
      <c r="AG46" s="245"/>
      <c r="AH46" s="243"/>
      <c r="AI46" s="87">
        <f t="shared" ref="AI46:AI53" si="38">R46+AC46</f>
        <v>6657.94</v>
      </c>
      <c r="AJ46" s="5"/>
      <c r="AK46" s="5">
        <v>2</v>
      </c>
      <c r="AL46" s="5">
        <v>2</v>
      </c>
      <c r="AM46" s="5">
        <v>1</v>
      </c>
      <c r="AN46" s="5"/>
      <c r="AO46" s="5">
        <v>1</v>
      </c>
      <c r="AP46" s="5">
        <v>4539</v>
      </c>
      <c r="AQ46" s="5"/>
      <c r="AR46" s="5">
        <v>249</v>
      </c>
      <c r="AS46" s="246">
        <v>238</v>
      </c>
      <c r="AT46" s="5">
        <v>76</v>
      </c>
      <c r="AU46" s="5">
        <v>7343</v>
      </c>
      <c r="AV46" s="5"/>
      <c r="AW46" s="5">
        <v>7343</v>
      </c>
      <c r="AX46" s="5">
        <v>3268</v>
      </c>
      <c r="AY46" s="5">
        <v>227</v>
      </c>
      <c r="AZ46" s="5">
        <v>1173</v>
      </c>
      <c r="BA46" s="5">
        <v>1173</v>
      </c>
      <c r="BB46" s="5">
        <v>71</v>
      </c>
      <c r="BC46" s="5">
        <v>54</v>
      </c>
      <c r="BD46" s="5">
        <v>377</v>
      </c>
      <c r="BE46" s="5">
        <v>1097</v>
      </c>
      <c r="BF46" s="5">
        <v>1</v>
      </c>
      <c r="BG46" s="5">
        <v>17000</v>
      </c>
      <c r="BH46" s="5">
        <v>710</v>
      </c>
      <c r="BI46" s="5">
        <v>200</v>
      </c>
      <c r="BJ46" s="98" t="str">
        <f t="shared" si="13"/>
        <v>0</v>
      </c>
      <c r="BK46" s="98" t="str">
        <f t="shared" si="14"/>
        <v>0</v>
      </c>
      <c r="BL46" s="98" t="str">
        <f t="shared" si="15"/>
        <v>0</v>
      </c>
      <c r="BM46" s="98">
        <f t="shared" si="16"/>
        <v>1</v>
      </c>
      <c r="BN46" s="98">
        <f t="shared" si="17"/>
        <v>6620.96</v>
      </c>
      <c r="BO46" s="98">
        <f t="shared" si="18"/>
        <v>4865.3999999999996</v>
      </c>
      <c r="BP46" s="98" t="str">
        <f t="shared" si="19"/>
        <v>0</v>
      </c>
      <c r="BQ46" s="98" t="str">
        <f t="shared" si="20"/>
        <v>0</v>
      </c>
      <c r="BR46" s="98" t="str">
        <f t="shared" si="21"/>
        <v>0</v>
      </c>
      <c r="BS46" s="5"/>
      <c r="BT46" s="5"/>
      <c r="BU46" s="5"/>
      <c r="BV46" s="5"/>
      <c r="BW46" s="5"/>
      <c r="BX46" s="5"/>
      <c r="BY46" s="82">
        <v>1811.84</v>
      </c>
      <c r="BZ46" s="82">
        <v>1811.84</v>
      </c>
      <c r="CA46" s="4">
        <v>3281</v>
      </c>
      <c r="CB46" s="4">
        <f t="shared" si="1"/>
        <v>2073</v>
      </c>
      <c r="CC46" s="34" t="str">
        <f t="shared" si="33"/>
        <v>0</v>
      </c>
      <c r="CD46" s="35">
        <f t="shared" si="3"/>
        <v>0</v>
      </c>
      <c r="CE46" s="34">
        <f t="shared" si="4"/>
        <v>1</v>
      </c>
      <c r="CF46" s="35">
        <f t="shared" si="5"/>
        <v>7343</v>
      </c>
      <c r="CG46" s="35">
        <f t="shared" ref="CG46:CG53" si="39">CC46+CE46</f>
        <v>1</v>
      </c>
      <c r="CH46" s="35">
        <f t="shared" ref="CH46:CH53" si="40">CD46+CF46</f>
        <v>7343</v>
      </c>
      <c r="CI46" s="36">
        <v>64</v>
      </c>
      <c r="CJ46" s="217">
        <f t="shared" si="24"/>
        <v>1</v>
      </c>
      <c r="CK46" s="217">
        <f t="shared" si="25"/>
        <v>6620.96</v>
      </c>
      <c r="CL46" s="218">
        <f t="shared" si="26"/>
        <v>58.443337522051188</v>
      </c>
      <c r="CM46" s="219">
        <f t="shared" si="27"/>
        <v>1</v>
      </c>
      <c r="CN46" s="219">
        <f t="shared" si="28"/>
        <v>6657.94</v>
      </c>
      <c r="CO46" s="218">
        <f t="shared" si="29"/>
        <v>58.674154468198878</v>
      </c>
      <c r="CP46" s="97">
        <v>1</v>
      </c>
      <c r="CQ46" s="97">
        <v>0</v>
      </c>
      <c r="CR46" s="97">
        <v>0</v>
      </c>
      <c r="CS46" s="97">
        <v>1</v>
      </c>
      <c r="CT46" s="97">
        <v>2</v>
      </c>
      <c r="CU46" s="97">
        <v>0</v>
      </c>
      <c r="CV46" s="97">
        <v>0</v>
      </c>
      <c r="CW46" s="97">
        <v>1</v>
      </c>
      <c r="CX46" s="97">
        <v>0</v>
      </c>
      <c r="CY46" s="94">
        <v>345</v>
      </c>
      <c r="CZ46" s="95">
        <v>167</v>
      </c>
      <c r="DA46" s="94">
        <v>178</v>
      </c>
      <c r="DB46" s="97">
        <v>61</v>
      </c>
      <c r="DC46" s="97">
        <v>33</v>
      </c>
      <c r="DD46" s="96">
        <v>167</v>
      </c>
      <c r="DE46" s="97">
        <v>33</v>
      </c>
      <c r="DF46" s="97">
        <v>33</v>
      </c>
      <c r="DG46" s="96">
        <v>167</v>
      </c>
      <c r="DH46" s="97">
        <v>33</v>
      </c>
      <c r="DI46" s="97">
        <v>31</v>
      </c>
      <c r="DJ46" s="97">
        <v>38</v>
      </c>
      <c r="DK46" s="94">
        <v>178</v>
      </c>
      <c r="DL46" s="97">
        <v>38</v>
      </c>
      <c r="DM46" s="97">
        <v>38</v>
      </c>
      <c r="DN46" s="94">
        <v>178</v>
      </c>
      <c r="DO46" s="97">
        <v>38</v>
      </c>
      <c r="DP46" s="92">
        <f t="shared" si="6"/>
        <v>345</v>
      </c>
      <c r="DQ46" s="97">
        <v>345</v>
      </c>
      <c r="DX46" s="104"/>
      <c r="DY46" s="104"/>
    </row>
    <row r="47" spans="1:129" s="37" customFormat="1">
      <c r="A47" s="24" t="s">
        <v>94</v>
      </c>
      <c r="B47" s="25">
        <v>41</v>
      </c>
      <c r="C47" s="24" t="s">
        <v>124</v>
      </c>
      <c r="D47" s="240">
        <v>1964</v>
      </c>
      <c r="E47" s="236"/>
      <c r="F47" s="24" t="s">
        <v>102</v>
      </c>
      <c r="G47" s="5">
        <v>1</v>
      </c>
      <c r="H47" s="241">
        <v>5</v>
      </c>
      <c r="I47" s="236" t="s">
        <v>96</v>
      </c>
      <c r="J47" s="5">
        <f>13100+3225</f>
        <v>16325</v>
      </c>
      <c r="K47" s="5">
        <f>933</f>
        <v>933</v>
      </c>
      <c r="L47" s="5">
        <f>1054+388</f>
        <v>1442</v>
      </c>
      <c r="M47" s="5"/>
      <c r="N47" s="5">
        <v>145</v>
      </c>
      <c r="O47" s="5">
        <v>155</v>
      </c>
      <c r="P47" s="5">
        <v>143</v>
      </c>
      <c r="Q47" s="10">
        <v>70</v>
      </c>
      <c r="R47" s="244">
        <v>2716.68</v>
      </c>
      <c r="S47" s="247">
        <v>1862.51</v>
      </c>
      <c r="T47" s="10">
        <f t="shared" si="7"/>
        <v>25</v>
      </c>
      <c r="U47" s="42">
        <f t="shared" si="8"/>
        <v>512.83999999999969</v>
      </c>
      <c r="V47" s="42">
        <f t="shared" si="9"/>
        <v>363.09999999999945</v>
      </c>
      <c r="W47" s="10">
        <v>120</v>
      </c>
      <c r="X47" s="80">
        <v>2203.84</v>
      </c>
      <c r="Y47" s="80">
        <v>1499.4100000000005</v>
      </c>
      <c r="Z47" s="243"/>
      <c r="AA47" s="243"/>
      <c r="AB47" s="243"/>
      <c r="AC47" s="80">
        <f t="shared" si="10"/>
        <v>94.7</v>
      </c>
      <c r="AD47" s="244">
        <f t="shared" si="11"/>
        <v>0</v>
      </c>
      <c r="AE47" s="245"/>
      <c r="AF47" s="244">
        <v>0</v>
      </c>
      <c r="AG47" s="245">
        <v>94.7</v>
      </c>
      <c r="AH47" s="243"/>
      <c r="AI47" s="87">
        <f t="shared" si="38"/>
        <v>2811.3799999999997</v>
      </c>
      <c r="AJ47" s="5"/>
      <c r="AK47" s="5"/>
      <c r="AL47" s="5">
        <f>2+1</f>
        <v>3</v>
      </c>
      <c r="AM47" s="5">
        <f>1</f>
        <v>1</v>
      </c>
      <c r="AN47" s="5"/>
      <c r="AO47" s="5">
        <f>1</f>
        <v>1</v>
      </c>
      <c r="AP47" s="5">
        <f>2404+908</f>
        <v>3312</v>
      </c>
      <c r="AQ47" s="5"/>
      <c r="AR47" s="5">
        <f>180+186</f>
        <v>366</v>
      </c>
      <c r="AS47" s="246">
        <f>298+44</f>
        <v>342</v>
      </c>
      <c r="AT47" s="5">
        <f>529+25</f>
        <v>554</v>
      </c>
      <c r="AU47" s="5">
        <f>2885+800</f>
        <v>3685</v>
      </c>
      <c r="AV47" s="5"/>
      <c r="AW47" s="5">
        <f>2885+800</f>
        <v>3685</v>
      </c>
      <c r="AX47" s="5"/>
      <c r="AY47" s="5">
        <f>135+123</f>
        <v>258</v>
      </c>
      <c r="AZ47" s="5">
        <f>668+907</f>
        <v>1575</v>
      </c>
      <c r="BA47" s="5">
        <f>668+907</f>
        <v>1575</v>
      </c>
      <c r="BB47" s="5">
        <f>11+4</f>
        <v>15</v>
      </c>
      <c r="BC47" s="5">
        <f>8+13</f>
        <v>21</v>
      </c>
      <c r="BD47" s="5">
        <f>138+70</f>
        <v>208</v>
      </c>
      <c r="BE47" s="5">
        <f>461+210</f>
        <v>671</v>
      </c>
      <c r="BF47" s="5">
        <f>0+1</f>
        <v>1</v>
      </c>
      <c r="BG47" s="5">
        <f>2637+650</f>
        <v>3287</v>
      </c>
      <c r="BH47" s="5">
        <f>68+200</f>
        <v>268</v>
      </c>
      <c r="BI47" s="5"/>
      <c r="BJ47" s="98">
        <f t="shared" si="13"/>
        <v>1</v>
      </c>
      <c r="BK47" s="98">
        <f t="shared" si="14"/>
        <v>2716.68</v>
      </c>
      <c r="BL47" s="98">
        <f t="shared" si="15"/>
        <v>1862.51</v>
      </c>
      <c r="BM47" s="98" t="str">
        <f t="shared" si="16"/>
        <v>0</v>
      </c>
      <c r="BN47" s="98" t="str">
        <f t="shared" si="17"/>
        <v>0</v>
      </c>
      <c r="BO47" s="98" t="str">
        <f t="shared" si="18"/>
        <v>0</v>
      </c>
      <c r="BP47" s="98" t="str">
        <f t="shared" si="19"/>
        <v>0</v>
      </c>
      <c r="BQ47" s="98" t="str">
        <f t="shared" si="20"/>
        <v>0</v>
      </c>
      <c r="BR47" s="98" t="str">
        <f t="shared" si="21"/>
        <v>0</v>
      </c>
      <c r="BS47" s="5"/>
      <c r="BT47" s="5"/>
      <c r="BU47" s="5"/>
      <c r="BV47" s="5"/>
      <c r="BW47" s="5"/>
      <c r="BX47" s="5">
        <f>AP47</f>
        <v>3312</v>
      </c>
      <c r="BY47" s="82">
        <v>779.41</v>
      </c>
      <c r="BZ47" s="82">
        <v>779.41</v>
      </c>
      <c r="CA47" s="4">
        <v>2535</v>
      </c>
      <c r="CB47" s="4">
        <f t="shared" si="1"/>
        <v>1602</v>
      </c>
      <c r="CC47" s="34" t="str">
        <f t="shared" si="33"/>
        <v>0</v>
      </c>
      <c r="CD47" s="35">
        <f t="shared" si="3"/>
        <v>0</v>
      </c>
      <c r="CE47" s="34">
        <f t="shared" si="4"/>
        <v>1</v>
      </c>
      <c r="CF47" s="35">
        <f t="shared" si="5"/>
        <v>3685</v>
      </c>
      <c r="CG47" s="35">
        <f t="shared" si="39"/>
        <v>1</v>
      </c>
      <c r="CH47" s="35">
        <f t="shared" si="40"/>
        <v>3685</v>
      </c>
      <c r="CI47" s="36">
        <v>49</v>
      </c>
      <c r="CJ47" s="217">
        <f t="shared" si="24"/>
        <v>1</v>
      </c>
      <c r="CK47" s="217">
        <f t="shared" si="25"/>
        <v>2716.68</v>
      </c>
      <c r="CL47" s="218">
        <f t="shared" si="26"/>
        <v>81.122546637807929</v>
      </c>
      <c r="CM47" s="219">
        <f t="shared" si="27"/>
        <v>1</v>
      </c>
      <c r="CN47" s="219">
        <f t="shared" si="28"/>
        <v>2811.3799999999997</v>
      </c>
      <c r="CO47" s="218">
        <f t="shared" si="29"/>
        <v>78.389972184478808</v>
      </c>
      <c r="CP47" s="97">
        <v>1</v>
      </c>
      <c r="CQ47" s="97">
        <v>0</v>
      </c>
      <c r="CR47" s="97">
        <v>0</v>
      </c>
      <c r="CS47" s="97">
        <v>0</v>
      </c>
      <c r="CT47" s="97">
        <v>2</v>
      </c>
      <c r="CU47" s="97">
        <v>0</v>
      </c>
      <c r="CV47" s="97">
        <v>0</v>
      </c>
      <c r="CW47" s="97">
        <v>1</v>
      </c>
      <c r="CX47" s="97">
        <v>0</v>
      </c>
      <c r="CY47" s="94">
        <v>145</v>
      </c>
      <c r="CZ47" s="95">
        <v>90</v>
      </c>
      <c r="DA47" s="94">
        <v>55</v>
      </c>
      <c r="DB47" s="97">
        <v>27</v>
      </c>
      <c r="DC47" s="97">
        <v>5</v>
      </c>
      <c r="DD47" s="96">
        <v>90</v>
      </c>
      <c r="DE47" s="97">
        <v>5</v>
      </c>
      <c r="DF47" s="97">
        <v>5</v>
      </c>
      <c r="DG47" s="96">
        <v>90</v>
      </c>
      <c r="DH47" s="97">
        <v>5</v>
      </c>
      <c r="DI47" s="97">
        <v>45</v>
      </c>
      <c r="DJ47" s="97">
        <v>3</v>
      </c>
      <c r="DK47" s="94">
        <v>55</v>
      </c>
      <c r="DL47" s="97">
        <v>3</v>
      </c>
      <c r="DM47" s="97">
        <v>3</v>
      </c>
      <c r="DN47" s="94">
        <v>55</v>
      </c>
      <c r="DO47" s="97">
        <v>3</v>
      </c>
      <c r="DP47" s="92">
        <f t="shared" si="6"/>
        <v>145</v>
      </c>
      <c r="DQ47" s="97">
        <v>145</v>
      </c>
      <c r="DX47" s="104"/>
      <c r="DY47" s="104"/>
    </row>
    <row r="48" spans="1:129" s="37" customFormat="1">
      <c r="A48" s="24" t="s">
        <v>94</v>
      </c>
      <c r="B48" s="25">
        <v>42</v>
      </c>
      <c r="C48" s="24" t="s">
        <v>125</v>
      </c>
      <c r="D48" s="240">
        <v>1975</v>
      </c>
      <c r="E48" s="236"/>
      <c r="F48" s="237" t="s">
        <v>103</v>
      </c>
      <c r="G48" s="5">
        <v>1</v>
      </c>
      <c r="H48" s="241">
        <v>9</v>
      </c>
      <c r="I48" s="236" t="s">
        <v>95</v>
      </c>
      <c r="J48" s="5">
        <v>29680</v>
      </c>
      <c r="K48" s="5">
        <v>1226</v>
      </c>
      <c r="L48" s="5"/>
      <c r="M48" s="5">
        <v>1246</v>
      </c>
      <c r="N48" s="5">
        <f>335+1</f>
        <v>336</v>
      </c>
      <c r="O48" s="5">
        <f>335+1</f>
        <v>336</v>
      </c>
      <c r="P48" s="5">
        <v>338</v>
      </c>
      <c r="Q48" s="10">
        <v>352</v>
      </c>
      <c r="R48" s="244">
        <f>6413.94+16.53</f>
        <v>6430.4699999999993</v>
      </c>
      <c r="S48" s="247">
        <v>4660.24</v>
      </c>
      <c r="T48" s="10">
        <f t="shared" si="7"/>
        <v>117</v>
      </c>
      <c r="U48" s="42">
        <f t="shared" si="8"/>
        <v>2276.9799999999968</v>
      </c>
      <c r="V48" s="42">
        <f t="shared" si="9"/>
        <v>1661.0700000000011</v>
      </c>
      <c r="W48" s="10">
        <v>219</v>
      </c>
      <c r="X48" s="80">
        <v>4153.4900000000025</v>
      </c>
      <c r="Y48" s="80">
        <v>2999.1699999999987</v>
      </c>
      <c r="Z48" s="243"/>
      <c r="AA48" s="243"/>
      <c r="AB48" s="243"/>
      <c r="AC48" s="80">
        <f t="shared" si="10"/>
        <v>154.26</v>
      </c>
      <c r="AD48" s="244">
        <f t="shared" si="11"/>
        <v>154.26</v>
      </c>
      <c r="AE48" s="245"/>
      <c r="AF48" s="244">
        <f>170.79-16.53</f>
        <v>154.26</v>
      </c>
      <c r="AG48" s="245"/>
      <c r="AH48" s="243"/>
      <c r="AI48" s="87">
        <f t="shared" si="38"/>
        <v>6584.73</v>
      </c>
      <c r="AJ48" s="5"/>
      <c r="AK48" s="5">
        <v>2</v>
      </c>
      <c r="AL48" s="5">
        <v>2</v>
      </c>
      <c r="AM48" s="5">
        <v>1</v>
      </c>
      <c r="AN48" s="5"/>
      <c r="AO48" s="5">
        <v>1</v>
      </c>
      <c r="AP48" s="5">
        <v>3339</v>
      </c>
      <c r="AQ48" s="5"/>
      <c r="AR48" s="5">
        <v>498</v>
      </c>
      <c r="AS48" s="246">
        <v>295</v>
      </c>
      <c r="AT48" s="5">
        <v>1305</v>
      </c>
      <c r="AU48" s="5">
        <v>9331</v>
      </c>
      <c r="AV48" s="5"/>
      <c r="AW48" s="5">
        <v>9331</v>
      </c>
      <c r="AX48" s="5">
        <v>3292</v>
      </c>
      <c r="AY48" s="5">
        <v>224</v>
      </c>
      <c r="AZ48" s="5">
        <v>1186</v>
      </c>
      <c r="BA48" s="5">
        <v>1186</v>
      </c>
      <c r="BB48" s="5">
        <v>54</v>
      </c>
      <c r="BC48" s="5">
        <v>86</v>
      </c>
      <c r="BD48" s="5">
        <v>378</v>
      </c>
      <c r="BE48" s="5">
        <v>1090</v>
      </c>
      <c r="BF48" s="5">
        <v>1</v>
      </c>
      <c r="BG48" s="5">
        <v>8789</v>
      </c>
      <c r="BH48" s="5">
        <v>225</v>
      </c>
      <c r="BI48" s="5">
        <v>200</v>
      </c>
      <c r="BJ48" s="98" t="str">
        <f t="shared" si="13"/>
        <v>0</v>
      </c>
      <c r="BK48" s="98" t="str">
        <f t="shared" si="14"/>
        <v>0</v>
      </c>
      <c r="BL48" s="98" t="str">
        <f t="shared" si="15"/>
        <v>0</v>
      </c>
      <c r="BM48" s="98">
        <f t="shared" si="16"/>
        <v>1</v>
      </c>
      <c r="BN48" s="98">
        <f t="shared" si="17"/>
        <v>6430.4699999999993</v>
      </c>
      <c r="BO48" s="98">
        <f t="shared" si="18"/>
        <v>4660.24</v>
      </c>
      <c r="BP48" s="98" t="str">
        <f t="shared" si="19"/>
        <v>0</v>
      </c>
      <c r="BQ48" s="98" t="str">
        <f t="shared" si="20"/>
        <v>0</v>
      </c>
      <c r="BR48" s="98" t="str">
        <f t="shared" si="21"/>
        <v>0</v>
      </c>
      <c r="BS48" s="5"/>
      <c r="BT48" s="5">
        <v>1</v>
      </c>
      <c r="BU48" s="5"/>
      <c r="BV48" s="5"/>
      <c r="BW48" s="5">
        <v>20</v>
      </c>
      <c r="BX48" s="5"/>
      <c r="BY48" s="82">
        <v>2010.93</v>
      </c>
      <c r="BZ48" s="82">
        <v>2010.93</v>
      </c>
      <c r="CA48" s="4">
        <v>3741</v>
      </c>
      <c r="CB48" s="4">
        <f t="shared" si="1"/>
        <v>2515</v>
      </c>
      <c r="CC48" s="34" t="str">
        <f t="shared" si="33"/>
        <v>0</v>
      </c>
      <c r="CD48" s="35">
        <f t="shared" si="3"/>
        <v>0</v>
      </c>
      <c r="CE48" s="34">
        <f t="shared" si="4"/>
        <v>1</v>
      </c>
      <c r="CF48" s="35">
        <f t="shared" si="5"/>
        <v>9331</v>
      </c>
      <c r="CG48" s="35">
        <f t="shared" si="39"/>
        <v>1</v>
      </c>
      <c r="CH48" s="35">
        <f t="shared" si="40"/>
        <v>9331</v>
      </c>
      <c r="CI48" s="36">
        <v>70</v>
      </c>
      <c r="CJ48" s="217">
        <f t="shared" si="24"/>
        <v>1</v>
      </c>
      <c r="CK48" s="217">
        <f t="shared" si="25"/>
        <v>6430.4699999999993</v>
      </c>
      <c r="CL48" s="218">
        <f t="shared" si="26"/>
        <v>64.590768637440235</v>
      </c>
      <c r="CM48" s="219">
        <f t="shared" si="27"/>
        <v>1</v>
      </c>
      <c r="CN48" s="219">
        <f t="shared" si="28"/>
        <v>6584.73</v>
      </c>
      <c r="CO48" s="218">
        <f t="shared" si="29"/>
        <v>65.420298174716393</v>
      </c>
      <c r="CP48" s="97">
        <v>1</v>
      </c>
      <c r="CQ48" s="97">
        <v>0</v>
      </c>
      <c r="CR48" s="97">
        <v>0</v>
      </c>
      <c r="CS48" s="97">
        <v>0</v>
      </c>
      <c r="CT48" s="97">
        <v>2</v>
      </c>
      <c r="CU48" s="97">
        <v>0</v>
      </c>
      <c r="CV48" s="97">
        <v>0</v>
      </c>
      <c r="CW48" s="97">
        <v>1</v>
      </c>
      <c r="CX48" s="97">
        <v>0</v>
      </c>
      <c r="CY48" s="94">
        <v>336</v>
      </c>
      <c r="CZ48" s="95">
        <v>163</v>
      </c>
      <c r="DA48" s="94">
        <v>173</v>
      </c>
      <c r="DB48" s="97">
        <v>54</v>
      </c>
      <c r="DC48" s="97">
        <v>39</v>
      </c>
      <c r="DD48" s="96">
        <v>163</v>
      </c>
      <c r="DE48" s="97">
        <v>39</v>
      </c>
      <c r="DF48" s="97">
        <v>39</v>
      </c>
      <c r="DG48" s="96">
        <v>163</v>
      </c>
      <c r="DH48" s="97">
        <v>39</v>
      </c>
      <c r="DI48" s="97">
        <v>48</v>
      </c>
      <c r="DJ48" s="97">
        <v>35</v>
      </c>
      <c r="DK48" s="94">
        <v>173</v>
      </c>
      <c r="DL48" s="97">
        <v>35</v>
      </c>
      <c r="DM48" s="97">
        <v>35</v>
      </c>
      <c r="DN48" s="94">
        <v>173</v>
      </c>
      <c r="DO48" s="97">
        <v>35</v>
      </c>
      <c r="DP48" s="92">
        <f t="shared" si="6"/>
        <v>336</v>
      </c>
      <c r="DQ48" s="97">
        <v>336</v>
      </c>
      <c r="DX48" s="104"/>
      <c r="DY48" s="104"/>
    </row>
    <row r="49" spans="1:129" s="37" customFormat="1">
      <c r="A49" s="24" t="s">
        <v>94</v>
      </c>
      <c r="B49" s="25">
        <v>43</v>
      </c>
      <c r="C49" s="24" t="s">
        <v>126</v>
      </c>
      <c r="D49" s="240">
        <v>1974</v>
      </c>
      <c r="E49" s="236"/>
      <c r="F49" s="237" t="s">
        <v>103</v>
      </c>
      <c r="G49" s="5">
        <v>1</v>
      </c>
      <c r="H49" s="241">
        <v>9</v>
      </c>
      <c r="I49" s="236" t="s">
        <v>95</v>
      </c>
      <c r="J49" s="5">
        <v>29548</v>
      </c>
      <c r="K49" s="5">
        <v>1244</v>
      </c>
      <c r="L49" s="5">
        <v>1417</v>
      </c>
      <c r="M49" s="5"/>
      <c r="N49" s="5">
        <f>352+1+2</f>
        <v>355</v>
      </c>
      <c r="O49" s="5">
        <f>352+1+2</f>
        <v>355</v>
      </c>
      <c r="P49" s="5">
        <v>358</v>
      </c>
      <c r="Q49" s="10">
        <v>463</v>
      </c>
      <c r="R49" s="244">
        <f>6721.74+16.56+21.84+21.6</f>
        <v>6781.7400000000007</v>
      </c>
      <c r="S49" s="247">
        <f>5091.4+12.05+17+16.88</f>
        <v>5137.33</v>
      </c>
      <c r="T49" s="6">
        <f t="shared" si="7"/>
        <v>162</v>
      </c>
      <c r="U49" s="42">
        <f t="shared" si="8"/>
        <v>3084.5099999999934</v>
      </c>
      <c r="V49" s="42">
        <f t="shared" si="9"/>
        <v>2334.4199999999992</v>
      </c>
      <c r="W49" s="10">
        <v>193</v>
      </c>
      <c r="X49" s="80">
        <v>3697.2300000000073</v>
      </c>
      <c r="Y49" s="80">
        <v>2802.9100000000008</v>
      </c>
      <c r="Z49" s="243"/>
      <c r="AA49" s="243"/>
      <c r="AB49" s="243"/>
      <c r="AC49" s="80">
        <f t="shared" si="10"/>
        <v>33.629999999999988</v>
      </c>
      <c r="AD49" s="244">
        <f t="shared" si="11"/>
        <v>33.629999999999988</v>
      </c>
      <c r="AE49" s="245"/>
      <c r="AF49" s="244">
        <f>93.63-16.56-21.84-21.6</f>
        <v>33.629999999999988</v>
      </c>
      <c r="AG49" s="245"/>
      <c r="AH49" s="243"/>
      <c r="AI49" s="87">
        <f t="shared" si="38"/>
        <v>6815.3700000000008</v>
      </c>
      <c r="AJ49" s="5"/>
      <c r="AK49" s="5">
        <v>2</v>
      </c>
      <c r="AL49" s="5">
        <v>2</v>
      </c>
      <c r="AM49" s="5">
        <v>1</v>
      </c>
      <c r="AN49" s="5"/>
      <c r="AO49" s="5">
        <v>1</v>
      </c>
      <c r="AP49" s="5">
        <v>3328</v>
      </c>
      <c r="AQ49" s="5"/>
      <c r="AR49" s="5">
        <v>240</v>
      </c>
      <c r="AS49" s="246">
        <v>358</v>
      </c>
      <c r="AT49" s="5">
        <v>1305</v>
      </c>
      <c r="AU49" s="5">
        <v>9331</v>
      </c>
      <c r="AV49" s="5"/>
      <c r="AW49" s="5">
        <v>9331</v>
      </c>
      <c r="AX49" s="5">
        <v>3293</v>
      </c>
      <c r="AY49" s="5">
        <v>228</v>
      </c>
      <c r="AZ49" s="5">
        <v>1177</v>
      </c>
      <c r="BA49" s="5">
        <v>1177</v>
      </c>
      <c r="BB49" s="5">
        <v>60</v>
      </c>
      <c r="BC49" s="5">
        <v>88</v>
      </c>
      <c r="BD49" s="5">
        <v>387</v>
      </c>
      <c r="BE49" s="5">
        <v>1113</v>
      </c>
      <c r="BF49" s="5">
        <v>1</v>
      </c>
      <c r="BG49" s="5">
        <v>8789</v>
      </c>
      <c r="BH49" s="5">
        <v>225</v>
      </c>
      <c r="BI49" s="5">
        <v>200</v>
      </c>
      <c r="BJ49" s="98" t="str">
        <f t="shared" si="13"/>
        <v>0</v>
      </c>
      <c r="BK49" s="98" t="str">
        <f t="shared" si="14"/>
        <v>0</v>
      </c>
      <c r="BL49" s="98" t="str">
        <f t="shared" si="15"/>
        <v>0</v>
      </c>
      <c r="BM49" s="98">
        <f t="shared" si="16"/>
        <v>1</v>
      </c>
      <c r="BN49" s="98">
        <f t="shared" si="17"/>
        <v>6781.7400000000007</v>
      </c>
      <c r="BO49" s="98">
        <f t="shared" si="18"/>
        <v>5137.33</v>
      </c>
      <c r="BP49" s="98" t="str">
        <f t="shared" si="19"/>
        <v>0</v>
      </c>
      <c r="BQ49" s="98" t="str">
        <f t="shared" si="20"/>
        <v>0</v>
      </c>
      <c r="BR49" s="98" t="str">
        <f t="shared" si="21"/>
        <v>0</v>
      </c>
      <c r="BS49" s="5"/>
      <c r="BT49" s="5"/>
      <c r="BU49" s="5"/>
      <c r="BV49" s="5"/>
      <c r="BW49" s="5"/>
      <c r="BX49" s="5"/>
      <c r="BY49" s="82">
        <v>1912.93</v>
      </c>
      <c r="BZ49" s="82">
        <v>1912.93</v>
      </c>
      <c r="CA49" s="4">
        <v>2483</v>
      </c>
      <c r="CB49" s="4">
        <f t="shared" si="1"/>
        <v>1239</v>
      </c>
      <c r="CC49" s="34" t="str">
        <f t="shared" si="33"/>
        <v>0</v>
      </c>
      <c r="CD49" s="35">
        <f t="shared" si="3"/>
        <v>0</v>
      </c>
      <c r="CE49" s="34">
        <f t="shared" si="4"/>
        <v>1</v>
      </c>
      <c r="CF49" s="35">
        <f t="shared" si="5"/>
        <v>9331</v>
      </c>
      <c r="CG49" s="35">
        <f t="shared" si="39"/>
        <v>1</v>
      </c>
      <c r="CH49" s="35">
        <f t="shared" si="40"/>
        <v>9331</v>
      </c>
      <c r="CI49" s="36">
        <v>74</v>
      </c>
      <c r="CJ49" s="217">
        <f t="shared" si="24"/>
        <v>1</v>
      </c>
      <c r="CK49" s="217">
        <f t="shared" si="25"/>
        <v>6781.7400000000007</v>
      </c>
      <c r="CL49" s="218">
        <f t="shared" si="26"/>
        <v>54.517424731706122</v>
      </c>
      <c r="CM49" s="219">
        <f t="shared" si="27"/>
        <v>1</v>
      </c>
      <c r="CN49" s="219">
        <f t="shared" si="28"/>
        <v>6815.3700000000008</v>
      </c>
      <c r="CO49" s="218">
        <f t="shared" si="29"/>
        <v>54.741855541225306</v>
      </c>
      <c r="CP49" s="97">
        <v>1</v>
      </c>
      <c r="CQ49" s="97">
        <v>0</v>
      </c>
      <c r="CR49" s="97">
        <v>0</v>
      </c>
      <c r="CS49" s="97">
        <v>0</v>
      </c>
      <c r="CT49" s="97">
        <v>2</v>
      </c>
      <c r="CU49" s="97">
        <v>0</v>
      </c>
      <c r="CV49" s="97">
        <v>0</v>
      </c>
      <c r="CW49" s="97">
        <v>1</v>
      </c>
      <c r="CX49" s="97">
        <v>0</v>
      </c>
      <c r="CY49" s="94">
        <v>352</v>
      </c>
      <c r="CZ49" s="95">
        <v>165</v>
      </c>
      <c r="DA49" s="94">
        <v>187</v>
      </c>
      <c r="DB49" s="97">
        <v>48</v>
      </c>
      <c r="DC49" s="97">
        <v>31</v>
      </c>
      <c r="DD49" s="96">
        <v>165</v>
      </c>
      <c r="DE49" s="97">
        <v>31</v>
      </c>
      <c r="DF49" s="97">
        <v>31</v>
      </c>
      <c r="DG49" s="96">
        <v>165</v>
      </c>
      <c r="DH49" s="97">
        <v>31</v>
      </c>
      <c r="DI49" s="97">
        <v>24</v>
      </c>
      <c r="DJ49" s="97">
        <v>27</v>
      </c>
      <c r="DK49" s="94">
        <v>187</v>
      </c>
      <c r="DL49" s="97">
        <v>27</v>
      </c>
      <c r="DM49" s="97">
        <v>27</v>
      </c>
      <c r="DN49" s="94">
        <v>187</v>
      </c>
      <c r="DO49" s="97">
        <v>27</v>
      </c>
      <c r="DP49" s="92">
        <f t="shared" si="6"/>
        <v>352</v>
      </c>
      <c r="DQ49" s="97">
        <v>352</v>
      </c>
      <c r="DX49" s="104"/>
      <c r="DY49" s="104"/>
    </row>
    <row r="50" spans="1:129" s="37" customFormat="1">
      <c r="A50" s="24" t="s">
        <v>94</v>
      </c>
      <c r="B50" s="25">
        <v>44</v>
      </c>
      <c r="C50" s="24" t="s">
        <v>127</v>
      </c>
      <c r="D50" s="240">
        <v>1972</v>
      </c>
      <c r="E50" s="236"/>
      <c r="F50" s="237" t="s">
        <v>103</v>
      </c>
      <c r="G50" s="5">
        <v>1</v>
      </c>
      <c r="H50" s="241">
        <v>9</v>
      </c>
      <c r="I50" s="236" t="s">
        <v>95</v>
      </c>
      <c r="J50" s="5">
        <v>28739</v>
      </c>
      <c r="K50" s="5">
        <v>1192</v>
      </c>
      <c r="L50" s="5">
        <v>1415</v>
      </c>
      <c r="M50" s="5"/>
      <c r="N50" s="5">
        <f>353+3</f>
        <v>356</v>
      </c>
      <c r="O50" s="5">
        <f>353+3</f>
        <v>356</v>
      </c>
      <c r="P50" s="5">
        <v>360</v>
      </c>
      <c r="Q50" s="10">
        <v>490</v>
      </c>
      <c r="R50" s="244">
        <f>6752.39+21.66+21.89+21.86</f>
        <v>6817.8</v>
      </c>
      <c r="S50" s="247">
        <f>4883.9+16.42+16.55+16.44</f>
        <v>4933.3099999999995</v>
      </c>
      <c r="T50" s="10">
        <f t="shared" si="7"/>
        <v>180</v>
      </c>
      <c r="U50" s="42">
        <f t="shared" si="8"/>
        <v>3456.55</v>
      </c>
      <c r="V50" s="42">
        <f t="shared" si="9"/>
        <v>2503.9899999999993</v>
      </c>
      <c r="W50" s="10">
        <v>176</v>
      </c>
      <c r="X50" s="80">
        <v>3361.25</v>
      </c>
      <c r="Y50" s="80">
        <v>2429.3200000000002</v>
      </c>
      <c r="Z50" s="243"/>
      <c r="AA50" s="243"/>
      <c r="AB50" s="243"/>
      <c r="AC50" s="80">
        <f t="shared" si="10"/>
        <v>21.810000000000002</v>
      </c>
      <c r="AD50" s="244">
        <f t="shared" si="11"/>
        <v>21.810000000000002</v>
      </c>
      <c r="AE50" s="245"/>
      <c r="AF50" s="244">
        <f>87.22-21.66-21.89-21.86</f>
        <v>21.810000000000002</v>
      </c>
      <c r="AG50" s="245"/>
      <c r="AH50" s="243"/>
      <c r="AI50" s="87">
        <f t="shared" si="38"/>
        <v>6839.6100000000006</v>
      </c>
      <c r="AJ50" s="5"/>
      <c r="AK50" s="5">
        <v>2</v>
      </c>
      <c r="AL50" s="5">
        <v>2</v>
      </c>
      <c r="AM50" s="5">
        <v>1</v>
      </c>
      <c r="AN50" s="5"/>
      <c r="AO50" s="5">
        <v>1</v>
      </c>
      <c r="AP50" s="5">
        <v>4560</v>
      </c>
      <c r="AQ50" s="5"/>
      <c r="AR50" s="5">
        <v>231</v>
      </c>
      <c r="AS50" s="246">
        <v>365</v>
      </c>
      <c r="AT50" s="5">
        <v>1305</v>
      </c>
      <c r="AU50" s="5">
        <v>9331</v>
      </c>
      <c r="AV50" s="5"/>
      <c r="AW50" s="5">
        <v>9331</v>
      </c>
      <c r="AX50" s="5">
        <v>3276</v>
      </c>
      <c r="AY50" s="5">
        <v>223</v>
      </c>
      <c r="AZ50" s="5">
        <v>1169</v>
      </c>
      <c r="BA50" s="5">
        <v>1169</v>
      </c>
      <c r="BB50" s="5">
        <v>62</v>
      </c>
      <c r="BC50" s="5">
        <v>54</v>
      </c>
      <c r="BD50" s="5">
        <v>402</v>
      </c>
      <c r="BE50" s="5">
        <v>1120</v>
      </c>
      <c r="BF50" s="5">
        <v>1</v>
      </c>
      <c r="BG50" s="5">
        <v>8789</v>
      </c>
      <c r="BH50" s="5">
        <v>225</v>
      </c>
      <c r="BI50" s="5">
        <v>200</v>
      </c>
      <c r="BJ50" s="98" t="str">
        <f t="shared" si="13"/>
        <v>0</v>
      </c>
      <c r="BK50" s="98" t="str">
        <f t="shared" si="14"/>
        <v>0</v>
      </c>
      <c r="BL50" s="98" t="str">
        <f t="shared" si="15"/>
        <v>0</v>
      </c>
      <c r="BM50" s="98">
        <f t="shared" si="16"/>
        <v>1</v>
      </c>
      <c r="BN50" s="98">
        <f t="shared" si="17"/>
        <v>6817.8</v>
      </c>
      <c r="BO50" s="98">
        <f t="shared" si="18"/>
        <v>4933.3099999999995</v>
      </c>
      <c r="BP50" s="98" t="str">
        <f t="shared" si="19"/>
        <v>0</v>
      </c>
      <c r="BQ50" s="98" t="str">
        <f t="shared" si="20"/>
        <v>0</v>
      </c>
      <c r="BR50" s="98" t="str">
        <f t="shared" si="21"/>
        <v>0</v>
      </c>
      <c r="BS50" s="5"/>
      <c r="BT50" s="5"/>
      <c r="BU50" s="5"/>
      <c r="BV50" s="5"/>
      <c r="BW50" s="5"/>
      <c r="BX50" s="5"/>
      <c r="BY50" s="82">
        <v>1932.88</v>
      </c>
      <c r="BZ50" s="82">
        <v>1932.88</v>
      </c>
      <c r="CA50" s="4">
        <v>2270</v>
      </c>
      <c r="CB50" s="4">
        <f t="shared" si="1"/>
        <v>1078</v>
      </c>
      <c r="CC50" s="34" t="str">
        <f t="shared" si="33"/>
        <v>0</v>
      </c>
      <c r="CD50" s="35">
        <f t="shared" si="3"/>
        <v>0</v>
      </c>
      <c r="CE50" s="34">
        <f t="shared" si="4"/>
        <v>1</v>
      </c>
      <c r="CF50" s="35">
        <f t="shared" si="5"/>
        <v>9331</v>
      </c>
      <c r="CG50" s="35">
        <f t="shared" si="39"/>
        <v>1</v>
      </c>
      <c r="CH50" s="35">
        <f t="shared" si="40"/>
        <v>9331</v>
      </c>
      <c r="CI50" s="36">
        <v>61</v>
      </c>
      <c r="CJ50" s="217" t="str">
        <f t="shared" si="24"/>
        <v>0</v>
      </c>
      <c r="CK50" s="217" t="str">
        <f t="shared" si="25"/>
        <v>0</v>
      </c>
      <c r="CL50" s="218">
        <f t="shared" si="26"/>
        <v>49.301094194608233</v>
      </c>
      <c r="CM50" s="219" t="str">
        <f t="shared" si="27"/>
        <v>0</v>
      </c>
      <c r="CN50" s="219" t="str">
        <f t="shared" si="28"/>
        <v>0</v>
      </c>
      <c r="CO50" s="218">
        <f t="shared" si="29"/>
        <v>49.462761765656218</v>
      </c>
      <c r="CP50" s="97">
        <v>1</v>
      </c>
      <c r="CQ50" s="97">
        <v>0</v>
      </c>
      <c r="CR50" s="97">
        <v>0</v>
      </c>
      <c r="CS50" s="97">
        <v>0</v>
      </c>
      <c r="CT50" s="97">
        <v>1</v>
      </c>
      <c r="CU50" s="97">
        <v>0</v>
      </c>
      <c r="CV50" s="97">
        <v>0</v>
      </c>
      <c r="CW50" s="97">
        <v>1</v>
      </c>
      <c r="CX50" s="97">
        <v>0</v>
      </c>
      <c r="CY50" s="94">
        <v>353</v>
      </c>
      <c r="CZ50" s="95">
        <v>182</v>
      </c>
      <c r="DA50" s="94">
        <v>171</v>
      </c>
      <c r="DB50" s="97">
        <v>73</v>
      </c>
      <c r="DC50" s="97">
        <v>49</v>
      </c>
      <c r="DD50" s="96">
        <v>182</v>
      </c>
      <c r="DE50" s="97">
        <v>49</v>
      </c>
      <c r="DF50" s="97">
        <v>49</v>
      </c>
      <c r="DG50" s="96">
        <v>182</v>
      </c>
      <c r="DH50" s="97">
        <v>49</v>
      </c>
      <c r="DI50" s="97">
        <v>27</v>
      </c>
      <c r="DJ50" s="97">
        <v>23</v>
      </c>
      <c r="DK50" s="94">
        <v>171</v>
      </c>
      <c r="DL50" s="97">
        <v>23</v>
      </c>
      <c r="DM50" s="97">
        <v>23</v>
      </c>
      <c r="DN50" s="94">
        <v>171</v>
      </c>
      <c r="DO50" s="97">
        <v>23</v>
      </c>
      <c r="DP50" s="92">
        <f t="shared" si="6"/>
        <v>353</v>
      </c>
      <c r="DQ50" s="97">
        <v>353</v>
      </c>
      <c r="DX50" s="104"/>
      <c r="DY50" s="104"/>
    </row>
    <row r="51" spans="1:129" s="37" customFormat="1">
      <c r="A51" s="24" t="s">
        <v>94</v>
      </c>
      <c r="B51" s="25">
        <v>45</v>
      </c>
      <c r="C51" s="24" t="s">
        <v>128</v>
      </c>
      <c r="D51" s="240">
        <v>1965</v>
      </c>
      <c r="E51" s="236"/>
      <c r="F51" s="24" t="s">
        <v>102</v>
      </c>
      <c r="G51" s="5">
        <v>1</v>
      </c>
      <c r="H51" s="241">
        <v>5</v>
      </c>
      <c r="I51" s="236" t="s">
        <v>96</v>
      </c>
      <c r="J51" s="5">
        <v>13350</v>
      </c>
      <c r="K51" s="5">
        <v>977</v>
      </c>
      <c r="L51" s="5">
        <v>1122</v>
      </c>
      <c r="M51" s="5"/>
      <c r="N51" s="5">
        <f>128+1</f>
        <v>129</v>
      </c>
      <c r="O51" s="5">
        <f>128+1</f>
        <v>129</v>
      </c>
      <c r="P51" s="5">
        <v>137</v>
      </c>
      <c r="Q51" s="10">
        <v>88</v>
      </c>
      <c r="R51" s="244">
        <f>2393.1+23.4</f>
        <v>2416.5</v>
      </c>
      <c r="S51" s="244">
        <v>1712.26</v>
      </c>
      <c r="T51" s="10">
        <f t="shared" si="7"/>
        <v>9</v>
      </c>
      <c r="U51" s="42">
        <f t="shared" si="8"/>
        <v>175.69999999999982</v>
      </c>
      <c r="V51" s="42">
        <f t="shared" si="9"/>
        <v>118.90000000000009</v>
      </c>
      <c r="W51" s="10">
        <v>120</v>
      </c>
      <c r="X51" s="80">
        <v>2240.8000000000002</v>
      </c>
      <c r="Y51" s="80">
        <v>1593.36</v>
      </c>
      <c r="Z51" s="243"/>
      <c r="AA51" s="243"/>
      <c r="AB51" s="243"/>
      <c r="AC51" s="80">
        <f t="shared" si="10"/>
        <v>738.19999999999993</v>
      </c>
      <c r="AD51" s="244">
        <f t="shared" si="11"/>
        <v>738.19999999999993</v>
      </c>
      <c r="AE51" s="245"/>
      <c r="AF51" s="244">
        <f>210.5-23.4-161.3+712.4</f>
        <v>738.19999999999993</v>
      </c>
      <c r="AG51" s="245"/>
      <c r="AH51" s="243"/>
      <c r="AI51" s="87">
        <f t="shared" si="38"/>
        <v>3154.7</v>
      </c>
      <c r="AJ51" s="5"/>
      <c r="AK51" s="5"/>
      <c r="AL51" s="5">
        <v>3</v>
      </c>
      <c r="AM51" s="5">
        <v>1</v>
      </c>
      <c r="AN51" s="5"/>
      <c r="AO51" s="5">
        <v>1</v>
      </c>
      <c r="AP51" s="5">
        <v>2433</v>
      </c>
      <c r="AQ51" s="5"/>
      <c r="AR51" s="5">
        <v>225</v>
      </c>
      <c r="AS51" s="246">
        <v>299</v>
      </c>
      <c r="AT51" s="5">
        <v>376</v>
      </c>
      <c r="AU51" s="5">
        <v>1891</v>
      </c>
      <c r="AV51" s="5"/>
      <c r="AW51" s="5">
        <v>1891</v>
      </c>
      <c r="AX51" s="5"/>
      <c r="AY51" s="5">
        <v>121</v>
      </c>
      <c r="AZ51" s="5">
        <v>920</v>
      </c>
      <c r="BA51" s="5">
        <v>920</v>
      </c>
      <c r="BB51" s="5">
        <v>14</v>
      </c>
      <c r="BC51" s="5">
        <v>42</v>
      </c>
      <c r="BD51" s="5">
        <v>215</v>
      </c>
      <c r="BE51" s="5">
        <v>670</v>
      </c>
      <c r="BF51" s="5">
        <v>1</v>
      </c>
      <c r="BG51" s="5">
        <v>3932</v>
      </c>
      <c r="BH51" s="5">
        <v>101</v>
      </c>
      <c r="BI51" s="5"/>
      <c r="BJ51" s="98">
        <f t="shared" si="13"/>
        <v>1</v>
      </c>
      <c r="BK51" s="98">
        <f t="shared" si="14"/>
        <v>2416.5</v>
      </c>
      <c r="BL51" s="98">
        <f t="shared" si="15"/>
        <v>1712.26</v>
      </c>
      <c r="BM51" s="98" t="str">
        <f t="shared" si="16"/>
        <v>0</v>
      </c>
      <c r="BN51" s="98" t="str">
        <f t="shared" si="17"/>
        <v>0</v>
      </c>
      <c r="BO51" s="98" t="str">
        <f t="shared" si="18"/>
        <v>0</v>
      </c>
      <c r="BP51" s="98" t="str">
        <f t="shared" si="19"/>
        <v>0</v>
      </c>
      <c r="BQ51" s="98" t="str">
        <f t="shared" si="20"/>
        <v>0</v>
      </c>
      <c r="BR51" s="98" t="str">
        <f t="shared" si="21"/>
        <v>0</v>
      </c>
      <c r="BS51" s="5"/>
      <c r="BT51" s="5"/>
      <c r="BU51" s="5"/>
      <c r="BV51" s="5"/>
      <c r="BW51" s="5"/>
      <c r="BX51" s="5">
        <f>AP51</f>
        <v>2433</v>
      </c>
      <c r="BY51" s="103">
        <f>601.1-238.2</f>
        <v>362.90000000000003</v>
      </c>
      <c r="BZ51" s="103">
        <f>601.1-238.2</f>
        <v>362.90000000000003</v>
      </c>
      <c r="CA51" s="4">
        <v>3363</v>
      </c>
      <c r="CB51" s="4">
        <f t="shared" si="1"/>
        <v>2386</v>
      </c>
      <c r="CC51" s="34" t="str">
        <f t="shared" si="33"/>
        <v>0</v>
      </c>
      <c r="CD51" s="35">
        <f t="shared" si="3"/>
        <v>0</v>
      </c>
      <c r="CE51" s="34">
        <f t="shared" si="4"/>
        <v>1</v>
      </c>
      <c r="CF51" s="35">
        <f t="shared" si="5"/>
        <v>1891</v>
      </c>
      <c r="CG51" s="35">
        <f t="shared" si="39"/>
        <v>1</v>
      </c>
      <c r="CH51" s="35">
        <f t="shared" si="40"/>
        <v>1891</v>
      </c>
      <c r="CI51" s="36">
        <v>61</v>
      </c>
      <c r="CJ51" s="217">
        <f t="shared" si="24"/>
        <v>1</v>
      </c>
      <c r="CK51" s="217">
        <f t="shared" si="25"/>
        <v>2416.5</v>
      </c>
      <c r="CL51" s="218">
        <f t="shared" si="26"/>
        <v>92.729153734740336</v>
      </c>
      <c r="CM51" s="219">
        <f t="shared" si="27"/>
        <v>1</v>
      </c>
      <c r="CN51" s="219">
        <f t="shared" si="28"/>
        <v>3154.7</v>
      </c>
      <c r="CO51" s="218">
        <f t="shared" si="29"/>
        <v>94.430532221764352</v>
      </c>
      <c r="CP51" s="97">
        <v>1</v>
      </c>
      <c r="CQ51" s="97">
        <v>0</v>
      </c>
      <c r="CR51" s="97">
        <v>0</v>
      </c>
      <c r="CS51" s="97">
        <v>0</v>
      </c>
      <c r="CT51" s="97">
        <v>1</v>
      </c>
      <c r="CU51" s="97">
        <v>0</v>
      </c>
      <c r="CV51" s="97">
        <v>0</v>
      </c>
      <c r="CW51" s="97">
        <v>1</v>
      </c>
      <c r="CX51" s="97">
        <v>0</v>
      </c>
      <c r="CY51" s="94">
        <v>128</v>
      </c>
      <c r="CZ51" s="95">
        <v>27</v>
      </c>
      <c r="DA51" s="94">
        <v>101</v>
      </c>
      <c r="DB51" s="97">
        <v>9</v>
      </c>
      <c r="DC51" s="97">
        <v>1</v>
      </c>
      <c r="DD51" s="96">
        <v>27</v>
      </c>
      <c r="DE51" s="97">
        <v>1</v>
      </c>
      <c r="DF51" s="97">
        <v>1</v>
      </c>
      <c r="DG51" s="96">
        <v>27</v>
      </c>
      <c r="DH51" s="97">
        <v>1</v>
      </c>
      <c r="DI51" s="97">
        <v>77</v>
      </c>
      <c r="DJ51" s="97">
        <v>0</v>
      </c>
      <c r="DK51" s="94">
        <v>101</v>
      </c>
      <c r="DL51" s="97">
        <v>0</v>
      </c>
      <c r="DM51" s="97">
        <v>0</v>
      </c>
      <c r="DN51" s="94">
        <v>101</v>
      </c>
      <c r="DO51" s="97">
        <v>0</v>
      </c>
      <c r="DP51" s="92">
        <f t="shared" si="6"/>
        <v>128</v>
      </c>
      <c r="DQ51" s="97">
        <v>128</v>
      </c>
      <c r="DX51" s="104"/>
      <c r="DY51" s="104"/>
    </row>
    <row r="52" spans="1:129" s="37" customFormat="1">
      <c r="A52" s="24" t="s">
        <v>94</v>
      </c>
      <c r="B52" s="25">
        <v>46</v>
      </c>
      <c r="C52" s="24" t="s">
        <v>129</v>
      </c>
      <c r="D52" s="240">
        <v>1978</v>
      </c>
      <c r="E52" s="236"/>
      <c r="F52" s="237" t="s">
        <v>103</v>
      </c>
      <c r="G52" s="5">
        <v>1</v>
      </c>
      <c r="H52" s="241">
        <v>9</v>
      </c>
      <c r="I52" s="236" t="s">
        <v>95</v>
      </c>
      <c r="J52" s="5">
        <v>28812</v>
      </c>
      <c r="K52" s="5">
        <v>1226</v>
      </c>
      <c r="L52" s="5">
        <v>1398</v>
      </c>
      <c r="M52" s="5"/>
      <c r="N52" s="5">
        <f>318+1+1</f>
        <v>320</v>
      </c>
      <c r="O52" s="5">
        <f>318+1+1</f>
        <v>320</v>
      </c>
      <c r="P52" s="5">
        <v>320</v>
      </c>
      <c r="Q52" s="10">
        <v>510</v>
      </c>
      <c r="R52" s="244">
        <f>6140.77+16.29+21.74</f>
        <v>6178.8</v>
      </c>
      <c r="S52" s="244">
        <f>4408.61+16.42</f>
        <v>4425.03</v>
      </c>
      <c r="T52" s="10">
        <f t="shared" si="7"/>
        <v>169</v>
      </c>
      <c r="U52" s="42">
        <f t="shared" si="8"/>
        <v>3258.7200000000003</v>
      </c>
      <c r="V52" s="42">
        <f t="shared" si="9"/>
        <v>2335.6899999999996</v>
      </c>
      <c r="W52" s="10">
        <v>151</v>
      </c>
      <c r="X52" s="80">
        <v>2920.08</v>
      </c>
      <c r="Y52" s="80">
        <v>2089.34</v>
      </c>
      <c r="Z52" s="243"/>
      <c r="AA52" s="243"/>
      <c r="AB52" s="243"/>
      <c r="AC52" s="80">
        <f t="shared" si="10"/>
        <v>42.790000000000006</v>
      </c>
      <c r="AD52" s="244">
        <f t="shared" si="11"/>
        <v>42.790000000000006</v>
      </c>
      <c r="AE52" s="245"/>
      <c r="AF52" s="244">
        <f>97.38-16.29-16.56-21.74</f>
        <v>42.790000000000006</v>
      </c>
      <c r="AG52" s="245"/>
      <c r="AH52" s="243"/>
      <c r="AI52" s="87">
        <f t="shared" si="38"/>
        <v>6221.59</v>
      </c>
      <c r="AJ52" s="5"/>
      <c r="AK52" s="5">
        <v>2</v>
      </c>
      <c r="AL52" s="5">
        <v>2</v>
      </c>
      <c r="AM52" s="5">
        <v>1</v>
      </c>
      <c r="AN52" s="5"/>
      <c r="AO52" s="5">
        <v>1</v>
      </c>
      <c r="AP52" s="5">
        <v>4300</v>
      </c>
      <c r="AQ52" s="5"/>
      <c r="AR52" s="5">
        <v>360</v>
      </c>
      <c r="AS52" s="246">
        <v>384</v>
      </c>
      <c r="AT52" s="5">
        <v>1305</v>
      </c>
      <c r="AU52" s="5">
        <v>9331</v>
      </c>
      <c r="AV52" s="5"/>
      <c r="AW52" s="5">
        <v>9331</v>
      </c>
      <c r="AX52" s="5">
        <v>3263</v>
      </c>
      <c r="AY52" s="5">
        <v>224</v>
      </c>
      <c r="AZ52" s="5">
        <v>1187</v>
      </c>
      <c r="BA52" s="5">
        <v>1187</v>
      </c>
      <c r="BB52" s="5">
        <v>70</v>
      </c>
      <c r="BC52" s="5">
        <v>54</v>
      </c>
      <c r="BD52" s="5">
        <v>386</v>
      </c>
      <c r="BE52" s="5">
        <v>1077</v>
      </c>
      <c r="BF52" s="5">
        <v>1</v>
      </c>
      <c r="BG52" s="5">
        <v>8789</v>
      </c>
      <c r="BH52" s="5">
        <v>225</v>
      </c>
      <c r="BI52" s="5">
        <v>200</v>
      </c>
      <c r="BJ52" s="98" t="str">
        <f t="shared" si="13"/>
        <v>0</v>
      </c>
      <c r="BK52" s="98" t="str">
        <f t="shared" si="14"/>
        <v>0</v>
      </c>
      <c r="BL52" s="98" t="str">
        <f t="shared" si="15"/>
        <v>0</v>
      </c>
      <c r="BM52" s="98">
        <f t="shared" si="16"/>
        <v>1</v>
      </c>
      <c r="BN52" s="98">
        <f t="shared" si="17"/>
        <v>6178.8</v>
      </c>
      <c r="BO52" s="98">
        <f t="shared" si="18"/>
        <v>4425.03</v>
      </c>
      <c r="BP52" s="98" t="str">
        <f t="shared" si="19"/>
        <v>0</v>
      </c>
      <c r="BQ52" s="98" t="str">
        <f t="shared" si="20"/>
        <v>0</v>
      </c>
      <c r="BR52" s="98" t="str">
        <f t="shared" si="21"/>
        <v>0</v>
      </c>
      <c r="BS52" s="5"/>
      <c r="BT52" s="5"/>
      <c r="BU52" s="5"/>
      <c r="BV52" s="5"/>
      <c r="BW52" s="5">
        <v>20</v>
      </c>
      <c r="BX52" s="5"/>
      <c r="BY52" s="82">
        <v>1791.72</v>
      </c>
      <c r="BZ52" s="82">
        <v>1791.72</v>
      </c>
      <c r="CA52" s="4">
        <v>3048</v>
      </c>
      <c r="CB52" s="4">
        <f t="shared" si="1"/>
        <v>1822</v>
      </c>
      <c r="CC52" s="34" t="str">
        <f t="shared" si="33"/>
        <v>0</v>
      </c>
      <c r="CD52" s="35">
        <f t="shared" si="3"/>
        <v>0</v>
      </c>
      <c r="CE52" s="34">
        <f t="shared" si="4"/>
        <v>1</v>
      </c>
      <c r="CF52" s="35">
        <f t="shared" si="5"/>
        <v>9331</v>
      </c>
      <c r="CG52" s="35">
        <f t="shared" si="39"/>
        <v>1</v>
      </c>
      <c r="CH52" s="35">
        <f t="shared" si="40"/>
        <v>9331</v>
      </c>
      <c r="CI52" s="36">
        <v>70</v>
      </c>
      <c r="CJ52" s="217" t="str">
        <f t="shared" si="24"/>
        <v>0</v>
      </c>
      <c r="CK52" s="217" t="str">
        <f t="shared" si="25"/>
        <v>0</v>
      </c>
      <c r="CL52" s="218">
        <f t="shared" si="26"/>
        <v>47.259662070304906</v>
      </c>
      <c r="CM52" s="219" t="str">
        <f t="shared" si="27"/>
        <v>0</v>
      </c>
      <c r="CN52" s="219" t="str">
        <f t="shared" si="28"/>
        <v>0</v>
      </c>
      <c r="CO52" s="218">
        <f t="shared" si="29"/>
        <v>47.622392346650933</v>
      </c>
      <c r="CP52" s="97">
        <v>1</v>
      </c>
      <c r="CQ52" s="97">
        <v>0</v>
      </c>
      <c r="CR52" s="97">
        <v>0</v>
      </c>
      <c r="CS52" s="97">
        <v>1</v>
      </c>
      <c r="CT52" s="97">
        <v>2</v>
      </c>
      <c r="CU52" s="97">
        <v>0</v>
      </c>
      <c r="CV52" s="97">
        <v>0</v>
      </c>
      <c r="CW52" s="97">
        <v>1</v>
      </c>
      <c r="CX52" s="97">
        <v>0</v>
      </c>
      <c r="CY52" s="94">
        <v>319</v>
      </c>
      <c r="CZ52" s="95">
        <v>170</v>
      </c>
      <c r="DA52" s="94">
        <v>149</v>
      </c>
      <c r="DB52" s="97">
        <v>93</v>
      </c>
      <c r="DC52" s="97">
        <v>57</v>
      </c>
      <c r="DD52" s="96">
        <v>170</v>
      </c>
      <c r="DE52" s="97">
        <v>57</v>
      </c>
      <c r="DF52" s="97">
        <v>57</v>
      </c>
      <c r="DG52" s="96">
        <v>170</v>
      </c>
      <c r="DH52" s="97">
        <v>57</v>
      </c>
      <c r="DI52" s="97">
        <v>50</v>
      </c>
      <c r="DJ52" s="97">
        <v>39</v>
      </c>
      <c r="DK52" s="94">
        <v>149</v>
      </c>
      <c r="DL52" s="97">
        <v>39</v>
      </c>
      <c r="DM52" s="97">
        <v>39</v>
      </c>
      <c r="DN52" s="94">
        <v>149</v>
      </c>
      <c r="DO52" s="97">
        <v>39</v>
      </c>
      <c r="DP52" s="92">
        <f t="shared" si="6"/>
        <v>319</v>
      </c>
      <c r="DQ52" s="97">
        <v>319</v>
      </c>
      <c r="DX52" s="104"/>
      <c r="DY52" s="104"/>
    </row>
    <row r="53" spans="1:129" s="37" customFormat="1">
      <c r="A53" s="24" t="s">
        <v>94</v>
      </c>
      <c r="B53" s="25">
        <v>47</v>
      </c>
      <c r="C53" s="24" t="s">
        <v>130</v>
      </c>
      <c r="D53" s="240">
        <v>1964</v>
      </c>
      <c r="E53" s="236"/>
      <c r="F53" s="24" t="s">
        <v>102</v>
      </c>
      <c r="G53" s="5">
        <v>1</v>
      </c>
      <c r="H53" s="241">
        <v>5</v>
      </c>
      <c r="I53" s="236" t="s">
        <v>96</v>
      </c>
      <c r="J53" s="5">
        <v>14301</v>
      </c>
      <c r="K53" s="5">
        <v>1023</v>
      </c>
      <c r="L53" s="5">
        <v>1182</v>
      </c>
      <c r="M53" s="5"/>
      <c r="N53" s="5">
        <f>71+1+34-2</f>
        <v>104</v>
      </c>
      <c r="O53" s="5">
        <f>71+36+34-2</f>
        <v>139</v>
      </c>
      <c r="P53" s="5">
        <v>125</v>
      </c>
      <c r="Q53" s="10">
        <v>20</v>
      </c>
      <c r="R53" s="244">
        <f>1145.84+768.8+612.7-103.5</f>
        <v>2423.84</v>
      </c>
      <c r="S53" s="244">
        <v>1726.5</v>
      </c>
      <c r="T53" s="5">
        <f t="shared" si="7"/>
        <v>3</v>
      </c>
      <c r="U53" s="42">
        <f t="shared" si="8"/>
        <v>40.290000000000191</v>
      </c>
      <c r="V53" s="42">
        <f t="shared" si="9"/>
        <v>-468.92999999999995</v>
      </c>
      <c r="W53" s="10">
        <v>100</v>
      </c>
      <c r="X53" s="80">
        <v>1614.75</v>
      </c>
      <c r="Y53" s="80">
        <v>1614.75</v>
      </c>
      <c r="Z53" s="5">
        <v>1</v>
      </c>
      <c r="AA53" s="243">
        <v>768.8</v>
      </c>
      <c r="AB53" s="243">
        <v>580.67999999999995</v>
      </c>
      <c r="AC53" s="80">
        <f t="shared" si="10"/>
        <v>313</v>
      </c>
      <c r="AD53" s="244">
        <f t="shared" si="11"/>
        <v>114.49999999999999</v>
      </c>
      <c r="AE53" s="245"/>
      <c r="AF53" s="244">
        <f>708.6-5.77-612.7+18.6+5.77</f>
        <v>114.49999999999999</v>
      </c>
      <c r="AG53" s="245">
        <f>961.53+5.77-768.8</f>
        <v>198.5</v>
      </c>
      <c r="AH53" s="243"/>
      <c r="AI53" s="87">
        <f t="shared" si="38"/>
        <v>2736.84</v>
      </c>
      <c r="AJ53" s="5"/>
      <c r="AK53" s="5"/>
      <c r="AL53" s="5">
        <v>2</v>
      </c>
      <c r="AM53" s="5">
        <v>1</v>
      </c>
      <c r="AN53" s="5"/>
      <c r="AO53" s="5">
        <v>1</v>
      </c>
      <c r="AP53" s="5">
        <v>2060</v>
      </c>
      <c r="AQ53" s="5"/>
      <c r="AR53" s="5">
        <v>306</v>
      </c>
      <c r="AS53" s="246">
        <v>270</v>
      </c>
      <c r="AT53" s="5">
        <v>582</v>
      </c>
      <c r="AU53" s="5">
        <v>2093</v>
      </c>
      <c r="AV53" s="5"/>
      <c r="AW53" s="5">
        <v>2093</v>
      </c>
      <c r="AX53" s="5"/>
      <c r="AY53" s="5">
        <v>114</v>
      </c>
      <c r="AZ53" s="5">
        <v>1000</v>
      </c>
      <c r="BA53" s="5">
        <v>1000</v>
      </c>
      <c r="BB53" s="5">
        <v>27</v>
      </c>
      <c r="BC53" s="5">
        <v>19</v>
      </c>
      <c r="BD53" s="5">
        <v>195</v>
      </c>
      <c r="BE53" s="5">
        <v>257</v>
      </c>
      <c r="BF53" s="5">
        <v>1</v>
      </c>
      <c r="BG53" s="5">
        <v>3932</v>
      </c>
      <c r="BH53" s="5">
        <v>101</v>
      </c>
      <c r="BI53" s="5"/>
      <c r="BJ53" s="98">
        <f t="shared" si="13"/>
        <v>1</v>
      </c>
      <c r="BK53" s="98">
        <f t="shared" si="14"/>
        <v>2423.84</v>
      </c>
      <c r="BL53" s="98">
        <f t="shared" si="15"/>
        <v>1726.5</v>
      </c>
      <c r="BM53" s="98" t="str">
        <f t="shared" si="16"/>
        <v>0</v>
      </c>
      <c r="BN53" s="98" t="str">
        <f t="shared" si="17"/>
        <v>0</v>
      </c>
      <c r="BO53" s="98" t="str">
        <f t="shared" si="18"/>
        <v>0</v>
      </c>
      <c r="BP53" s="98" t="str">
        <f t="shared" si="19"/>
        <v>0</v>
      </c>
      <c r="BQ53" s="98" t="str">
        <f t="shared" si="20"/>
        <v>0</v>
      </c>
      <c r="BR53" s="98" t="str">
        <f t="shared" si="21"/>
        <v>0</v>
      </c>
      <c r="BS53" s="5"/>
      <c r="BT53" s="5"/>
      <c r="BU53" s="5"/>
      <c r="BV53" s="5"/>
      <c r="BW53" s="5"/>
      <c r="BX53" s="5">
        <f>AP53</f>
        <v>2060</v>
      </c>
      <c r="BY53" s="82">
        <v>847.27</v>
      </c>
      <c r="BZ53" s="82">
        <v>847.27</v>
      </c>
      <c r="CA53" s="4">
        <v>2692</v>
      </c>
      <c r="CB53" s="4">
        <f t="shared" si="1"/>
        <v>1669</v>
      </c>
      <c r="CC53" s="34" t="str">
        <f t="shared" si="33"/>
        <v>0</v>
      </c>
      <c r="CD53" s="35">
        <f t="shared" si="3"/>
        <v>0</v>
      </c>
      <c r="CE53" s="34">
        <f t="shared" si="4"/>
        <v>1</v>
      </c>
      <c r="CF53" s="35">
        <f t="shared" si="5"/>
        <v>2093</v>
      </c>
      <c r="CG53" s="35">
        <f t="shared" si="39"/>
        <v>1</v>
      </c>
      <c r="CH53" s="35">
        <f t="shared" si="40"/>
        <v>2093</v>
      </c>
      <c r="CI53" s="36">
        <v>49</v>
      </c>
      <c r="CJ53" s="217">
        <f t="shared" si="24"/>
        <v>1</v>
      </c>
      <c r="CK53" s="217">
        <f t="shared" si="25"/>
        <v>2423.84</v>
      </c>
      <c r="CL53" s="218">
        <f t="shared" si="26"/>
        <v>66.619496336391833</v>
      </c>
      <c r="CM53" s="219">
        <f t="shared" si="27"/>
        <v>1</v>
      </c>
      <c r="CN53" s="219">
        <f t="shared" si="28"/>
        <v>2736.84</v>
      </c>
      <c r="CO53" s="218">
        <f t="shared" si="29"/>
        <v>63.184183218602477</v>
      </c>
      <c r="CP53" s="97">
        <v>1</v>
      </c>
      <c r="CQ53" s="97">
        <v>0</v>
      </c>
      <c r="CR53" s="97">
        <v>0</v>
      </c>
      <c r="CS53" s="97">
        <v>0</v>
      </c>
      <c r="CT53" s="97">
        <v>1</v>
      </c>
      <c r="CU53" s="97">
        <v>0</v>
      </c>
      <c r="CV53" s="97">
        <v>0</v>
      </c>
      <c r="CW53" s="97">
        <v>0</v>
      </c>
      <c r="CX53" s="97">
        <v>0</v>
      </c>
      <c r="CY53" s="94">
        <v>106</v>
      </c>
      <c r="CZ53" s="95">
        <v>1</v>
      </c>
      <c r="DA53" s="94">
        <v>70</v>
      </c>
      <c r="DB53" s="97">
        <v>0</v>
      </c>
      <c r="DC53" s="97">
        <v>0</v>
      </c>
      <c r="DD53" s="97">
        <v>1</v>
      </c>
      <c r="DE53" s="97">
        <v>0</v>
      </c>
      <c r="DF53" s="97">
        <v>0</v>
      </c>
      <c r="DG53" s="97">
        <v>1</v>
      </c>
      <c r="DH53" s="97">
        <v>0</v>
      </c>
      <c r="DI53" s="97">
        <v>1</v>
      </c>
      <c r="DJ53" s="97">
        <v>0</v>
      </c>
      <c r="DK53" s="94">
        <v>70</v>
      </c>
      <c r="DL53" s="97">
        <v>0</v>
      </c>
      <c r="DM53" s="97">
        <v>0</v>
      </c>
      <c r="DN53" s="94">
        <v>70</v>
      </c>
      <c r="DO53" s="97">
        <v>0</v>
      </c>
      <c r="DP53" s="92">
        <f t="shared" si="6"/>
        <v>106</v>
      </c>
      <c r="DQ53" s="97">
        <v>71</v>
      </c>
      <c r="DX53" s="104"/>
      <c r="DY53" s="104"/>
    </row>
    <row r="54" spans="1:129" ht="16.2" hidden="1" customHeight="1" outlineLevel="1">
      <c r="A54" s="24"/>
      <c r="B54" s="43"/>
      <c r="C54" s="44"/>
      <c r="D54" s="45"/>
      <c r="E54" s="46"/>
      <c r="F54" s="46"/>
      <c r="G54" s="47"/>
      <c r="H54" s="46"/>
      <c r="I54" s="27"/>
      <c r="J54" s="48"/>
      <c r="K54" s="48"/>
      <c r="L54" s="48"/>
      <c r="M54" s="48"/>
      <c r="N54" s="48"/>
      <c r="O54" s="48"/>
      <c r="P54" s="48"/>
      <c r="Q54" s="48"/>
      <c r="R54" s="49"/>
      <c r="S54" s="49"/>
      <c r="T54" s="48"/>
      <c r="U54" s="50"/>
      <c r="V54" s="50"/>
      <c r="W54" s="51"/>
      <c r="X54" s="90"/>
      <c r="Y54" s="90"/>
      <c r="Z54" s="52"/>
      <c r="AA54" s="52"/>
      <c r="AB54" s="52"/>
      <c r="AC54" s="52"/>
      <c r="AD54" s="49"/>
      <c r="AE54" s="53"/>
      <c r="AF54" s="53"/>
      <c r="AG54" s="53"/>
      <c r="AH54" s="53"/>
      <c r="AI54" s="87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54"/>
      <c r="BZ54" s="54"/>
      <c r="CI54" s="22"/>
      <c r="CJ54" s="23"/>
      <c r="CK54" s="23"/>
      <c r="CL54" s="11"/>
      <c r="CM54" s="11"/>
      <c r="CN54" s="11"/>
      <c r="CO54" s="11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</row>
    <row r="55" spans="1:129" ht="13.2" hidden="1" customHeight="1" outlineLevel="1">
      <c r="A55" s="22"/>
      <c r="B55" s="55"/>
      <c r="C55" s="22"/>
      <c r="D55" s="22"/>
      <c r="E55" s="22"/>
      <c r="F55" s="22"/>
      <c r="G55" s="22"/>
      <c r="H55" s="55"/>
      <c r="I55" s="55"/>
      <c r="J55" s="22"/>
      <c r="K55" s="22"/>
      <c r="L55" s="22"/>
      <c r="M55" s="22"/>
      <c r="N55" s="22"/>
      <c r="O55" s="22"/>
      <c r="P55" s="22"/>
      <c r="Q55" s="22"/>
      <c r="R55" s="56"/>
      <c r="S55" s="56"/>
      <c r="T55" s="22"/>
      <c r="U55" s="22"/>
      <c r="V55" s="22"/>
      <c r="W55" s="22"/>
      <c r="X55" s="89"/>
      <c r="Y55" s="89"/>
      <c r="Z55" s="22"/>
      <c r="AA55" s="22"/>
      <c r="AB55" s="22"/>
      <c r="AC55" s="57"/>
      <c r="AD55" s="56"/>
      <c r="AE55" s="22"/>
      <c r="AF55" s="22"/>
      <c r="AG55" s="22"/>
      <c r="AH55" s="22"/>
      <c r="AI55" s="89"/>
      <c r="AJ55" s="22"/>
      <c r="AK55" s="22"/>
      <c r="AL55" s="22"/>
      <c r="AM55" s="22"/>
      <c r="AN55" s="22"/>
      <c r="AO55" s="22"/>
      <c r="AP55" s="22"/>
      <c r="AQ55" s="22"/>
      <c r="AR55" s="22"/>
      <c r="AS55" s="55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0"/>
      <c r="BZ55" s="20"/>
      <c r="CI55" s="22"/>
      <c r="CJ55" s="23"/>
      <c r="CK55" s="23"/>
      <c r="CL55" s="11"/>
      <c r="CM55" s="11"/>
      <c r="CN55" s="11"/>
      <c r="CO55" s="11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</row>
    <row r="56" spans="1:129" hidden="1" outlineLevel="1">
      <c r="A56" s="22"/>
      <c r="B56" s="55"/>
      <c r="C56" s="22"/>
      <c r="D56" s="22"/>
      <c r="E56" s="22"/>
      <c r="F56" s="22"/>
      <c r="G56" s="22"/>
      <c r="H56" s="55"/>
      <c r="I56" s="55"/>
      <c r="J56" s="22"/>
      <c r="K56" s="22"/>
      <c r="L56" s="22"/>
      <c r="M56" s="22"/>
      <c r="N56" s="22"/>
      <c r="O56" s="22"/>
      <c r="P56" s="22"/>
      <c r="Q56" s="22"/>
      <c r="R56" s="56"/>
      <c r="S56" s="56"/>
      <c r="T56" s="22"/>
      <c r="U56" s="22"/>
      <c r="V56" s="22"/>
      <c r="W56" s="22"/>
      <c r="X56" s="89"/>
      <c r="Y56" s="89"/>
      <c r="Z56" s="22"/>
      <c r="AA56" s="22"/>
      <c r="AB56" s="22"/>
      <c r="AC56" s="57"/>
      <c r="AD56" s="56"/>
      <c r="AE56" s="22"/>
      <c r="AF56" s="22"/>
      <c r="AG56" s="22"/>
      <c r="AH56" s="22"/>
      <c r="AI56" s="89"/>
      <c r="AJ56" s="22"/>
      <c r="AK56" s="22"/>
      <c r="AL56" s="22"/>
      <c r="AM56" s="22"/>
      <c r="AN56" s="22"/>
      <c r="AO56" s="22"/>
      <c r="AP56" s="22"/>
      <c r="AQ56" s="22"/>
      <c r="AR56" s="22"/>
      <c r="AS56" s="55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0"/>
      <c r="BZ56" s="20"/>
      <c r="CI56" s="22"/>
      <c r="CJ56" s="23"/>
      <c r="CK56" s="23"/>
      <c r="CL56" s="11"/>
      <c r="CM56" s="11"/>
      <c r="CN56" s="11"/>
      <c r="CO56" s="11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</row>
    <row r="57" spans="1:129" hidden="1" outlineLevel="1">
      <c r="A57" s="22"/>
      <c r="B57" s="55"/>
      <c r="C57" s="22"/>
      <c r="D57" s="22"/>
      <c r="E57" s="22"/>
      <c r="F57" s="22"/>
      <c r="G57" s="22"/>
      <c r="H57" s="55"/>
      <c r="I57" s="55"/>
      <c r="J57" s="22"/>
      <c r="K57" s="22"/>
      <c r="L57" s="22"/>
      <c r="M57" s="22"/>
      <c r="N57" s="22"/>
      <c r="O57" s="22"/>
      <c r="P57" s="22"/>
      <c r="Q57" s="22"/>
      <c r="R57" s="56"/>
      <c r="S57" s="56"/>
      <c r="T57" s="22"/>
      <c r="U57" s="22"/>
      <c r="V57" s="22"/>
      <c r="W57" s="22"/>
      <c r="X57" s="89"/>
      <c r="Y57" s="89"/>
      <c r="Z57" s="22"/>
      <c r="AA57" s="22"/>
      <c r="AB57" s="22"/>
      <c r="AC57" s="57"/>
      <c r="AD57" s="56"/>
      <c r="AE57" s="22"/>
      <c r="AF57" s="22"/>
      <c r="AG57" s="22"/>
      <c r="AH57" s="22"/>
      <c r="AI57" s="89"/>
      <c r="AJ57" s="22"/>
      <c r="AK57" s="22"/>
      <c r="AL57" s="22"/>
      <c r="AM57" s="22"/>
      <c r="AN57" s="22"/>
      <c r="AO57" s="22"/>
      <c r="AP57" s="22"/>
      <c r="AQ57" s="22"/>
      <c r="AR57" s="22"/>
      <c r="AS57" s="55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0"/>
      <c r="BZ57" s="20"/>
      <c r="CI57" s="22"/>
      <c r="CJ57" s="23"/>
      <c r="CK57" s="23"/>
      <c r="CL57" s="11"/>
      <c r="CM57" s="11"/>
      <c r="CN57" s="11"/>
      <c r="CO57" s="11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</row>
    <row r="58" spans="1:129" hidden="1" outlineLevel="1">
      <c r="A58" s="22"/>
      <c r="B58" s="55"/>
      <c r="C58" s="22"/>
      <c r="D58" s="22"/>
      <c r="E58" s="22"/>
      <c r="F58" s="22"/>
      <c r="G58" s="22"/>
      <c r="H58" s="55"/>
      <c r="I58" s="55"/>
      <c r="J58" s="22"/>
      <c r="K58" s="22"/>
      <c r="L58" s="22"/>
      <c r="M58" s="22"/>
      <c r="N58" s="22"/>
      <c r="O58" s="22"/>
      <c r="P58" s="22"/>
      <c r="Q58" s="22"/>
      <c r="R58" s="56"/>
      <c r="S58" s="56"/>
      <c r="T58" s="22"/>
      <c r="U58" s="22"/>
      <c r="V58" s="22"/>
      <c r="W58" s="22"/>
      <c r="X58" s="89"/>
      <c r="Y58" s="89"/>
      <c r="Z58" s="22"/>
      <c r="AA58" s="22"/>
      <c r="AB58" s="22"/>
      <c r="AC58" s="57"/>
      <c r="AD58" s="56"/>
      <c r="AE58" s="22"/>
      <c r="AF58" s="22"/>
      <c r="AG58" s="22"/>
      <c r="AH58" s="22"/>
      <c r="AI58" s="89"/>
      <c r="AJ58" s="22"/>
      <c r="AK58" s="22"/>
      <c r="AL58" s="22"/>
      <c r="AM58" s="22"/>
      <c r="AN58" s="22"/>
      <c r="AO58" s="22"/>
      <c r="AP58" s="22"/>
      <c r="AQ58" s="22"/>
      <c r="AR58" s="22"/>
      <c r="AS58" s="55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0"/>
      <c r="BZ58" s="20"/>
      <c r="CI58" s="22"/>
      <c r="CJ58" s="23"/>
      <c r="CK58" s="23"/>
      <c r="CL58" s="11"/>
      <c r="CM58" s="11"/>
      <c r="CN58" s="11"/>
      <c r="CO58" s="11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</row>
    <row r="59" spans="1:129" hidden="1" outlineLevel="1">
      <c r="A59" s="22"/>
      <c r="B59" s="55"/>
      <c r="C59" s="22"/>
      <c r="D59" s="22"/>
      <c r="E59" s="22"/>
      <c r="F59" s="22"/>
      <c r="G59" s="22"/>
      <c r="H59" s="55"/>
      <c r="I59" s="55"/>
      <c r="J59" s="22"/>
      <c r="K59" s="22"/>
      <c r="L59" s="22"/>
      <c r="M59" s="22"/>
      <c r="N59" s="22"/>
      <c r="O59" s="22"/>
      <c r="P59" s="22"/>
      <c r="Q59" s="22"/>
      <c r="R59" s="56"/>
      <c r="S59" s="56"/>
      <c r="T59" s="22"/>
      <c r="U59" s="22"/>
      <c r="V59" s="22"/>
      <c r="W59" s="22"/>
      <c r="X59" s="89"/>
      <c r="Y59" s="89"/>
      <c r="Z59" s="22"/>
      <c r="AA59" s="22"/>
      <c r="AB59" s="22"/>
      <c r="AC59" s="57"/>
      <c r="AD59" s="56"/>
      <c r="AE59" s="22"/>
      <c r="AF59" s="22"/>
      <c r="AG59" s="22"/>
      <c r="AH59" s="22"/>
      <c r="AI59" s="89"/>
      <c r="AJ59" s="22"/>
      <c r="AK59" s="22"/>
      <c r="AL59" s="22"/>
      <c r="AM59" s="22"/>
      <c r="AN59" s="22"/>
      <c r="AO59" s="22"/>
      <c r="AP59" s="22"/>
      <c r="AQ59" s="22"/>
      <c r="AR59" s="22"/>
      <c r="AS59" s="55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0"/>
      <c r="BZ59" s="20"/>
      <c r="CI59" s="22"/>
      <c r="CJ59" s="23"/>
      <c r="CK59" s="23"/>
      <c r="CL59" s="11"/>
      <c r="CM59" s="11"/>
      <c r="CN59" s="11"/>
      <c r="CO59" s="11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</row>
    <row r="60" spans="1:129" hidden="1" outlineLevel="1">
      <c r="A60" s="22"/>
      <c r="B60" s="55"/>
      <c r="C60" s="22"/>
      <c r="D60" s="22"/>
      <c r="E60" s="22"/>
      <c r="F60" s="22"/>
      <c r="G60" s="22"/>
      <c r="H60" s="55"/>
      <c r="I60" s="55"/>
      <c r="J60" s="22"/>
      <c r="K60" s="22"/>
      <c r="L60" s="22"/>
      <c r="M60" s="22"/>
      <c r="N60" s="22"/>
      <c r="O60" s="22"/>
      <c r="P60" s="22"/>
      <c r="Q60" s="22"/>
      <c r="R60" s="56"/>
      <c r="S60" s="56"/>
      <c r="T60" s="22"/>
      <c r="U60" s="22"/>
      <c r="V60" s="22"/>
      <c r="W60" s="22"/>
      <c r="X60" s="89"/>
      <c r="Y60" s="89"/>
      <c r="Z60" s="22"/>
      <c r="AA60" s="22"/>
      <c r="AB60" s="22"/>
      <c r="AC60" s="57"/>
      <c r="AD60" s="56"/>
      <c r="AE60" s="22"/>
      <c r="AF60" s="22"/>
      <c r="AG60" s="22"/>
      <c r="AH60" s="22"/>
      <c r="AI60" s="89"/>
      <c r="AJ60" s="22"/>
      <c r="AK60" s="22"/>
      <c r="AL60" s="22"/>
      <c r="AM60" s="22"/>
      <c r="AN60" s="22"/>
      <c r="AO60" s="22"/>
      <c r="AP60" s="22"/>
      <c r="AQ60" s="22"/>
      <c r="AR60" s="22"/>
      <c r="AS60" s="55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0"/>
      <c r="BZ60" s="20"/>
      <c r="CI60" s="22"/>
      <c r="CJ60" s="23"/>
      <c r="CK60" s="23"/>
      <c r="CL60" s="11"/>
      <c r="CM60" s="11"/>
      <c r="CN60" s="11"/>
      <c r="CO60" s="11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</row>
    <row r="61" spans="1:129" hidden="1" outlineLevel="1">
      <c r="A61" s="22"/>
      <c r="B61" s="55"/>
      <c r="C61" s="22"/>
      <c r="D61" s="22"/>
      <c r="E61" s="22"/>
      <c r="F61" s="22"/>
      <c r="G61" s="22"/>
      <c r="H61" s="55"/>
      <c r="I61" s="55"/>
      <c r="J61" s="22"/>
      <c r="K61" s="22"/>
      <c r="L61" s="22"/>
      <c r="M61" s="22"/>
      <c r="N61" s="22"/>
      <c r="O61" s="22"/>
      <c r="P61" s="22"/>
      <c r="Q61" s="22"/>
      <c r="R61" s="56"/>
      <c r="S61" s="56"/>
      <c r="T61" s="22"/>
      <c r="U61" s="22"/>
      <c r="V61" s="22"/>
      <c r="W61" s="22"/>
      <c r="X61" s="89"/>
      <c r="Y61" s="89"/>
      <c r="Z61" s="22"/>
      <c r="AA61" s="22"/>
      <c r="AB61" s="22"/>
      <c r="AC61" s="57"/>
      <c r="AD61" s="56"/>
      <c r="AE61" s="22"/>
      <c r="AF61" s="22"/>
      <c r="AG61" s="22"/>
      <c r="AH61" s="22"/>
      <c r="AI61" s="89"/>
      <c r="AJ61" s="22"/>
      <c r="AK61" s="22"/>
      <c r="AL61" s="22"/>
      <c r="AM61" s="22"/>
      <c r="AN61" s="22"/>
      <c r="AO61" s="22"/>
      <c r="AP61" s="22"/>
      <c r="AQ61" s="22"/>
      <c r="AR61" s="22"/>
      <c r="AS61" s="55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0"/>
      <c r="BZ61" s="20"/>
      <c r="CI61" s="22"/>
      <c r="CJ61" s="23"/>
      <c r="CK61" s="23"/>
      <c r="CL61" s="11"/>
      <c r="CM61" s="11"/>
      <c r="CN61" s="11"/>
      <c r="CO61" s="11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</row>
    <row r="62" spans="1:129" hidden="1" outlineLevel="1">
      <c r="A62" s="22"/>
      <c r="B62" s="55"/>
      <c r="C62" s="22"/>
      <c r="D62" s="22"/>
      <c r="E62" s="22"/>
      <c r="F62" s="22"/>
      <c r="G62" s="22"/>
      <c r="H62" s="55"/>
      <c r="I62" s="55"/>
      <c r="J62" s="22"/>
      <c r="K62" s="22"/>
      <c r="L62" s="22"/>
      <c r="M62" s="22"/>
      <c r="N62" s="22"/>
      <c r="O62" s="22"/>
      <c r="P62" s="22"/>
      <c r="Q62" s="22"/>
      <c r="R62" s="56"/>
      <c r="S62" s="56"/>
      <c r="T62" s="22"/>
      <c r="U62" s="22"/>
      <c r="V62" s="22"/>
      <c r="W62" s="22"/>
      <c r="X62" s="89"/>
      <c r="Y62" s="89"/>
      <c r="Z62" s="22"/>
      <c r="AA62" s="22"/>
      <c r="AB62" s="22"/>
      <c r="AC62" s="57"/>
      <c r="AD62" s="56"/>
      <c r="AE62" s="22"/>
      <c r="AF62" s="22"/>
      <c r="AG62" s="22"/>
      <c r="AH62" s="22"/>
      <c r="AI62" s="89"/>
      <c r="AJ62" s="22"/>
      <c r="AK62" s="22"/>
      <c r="AL62" s="22"/>
      <c r="AM62" s="22"/>
      <c r="AN62" s="22"/>
      <c r="AO62" s="22"/>
      <c r="AP62" s="22"/>
      <c r="AQ62" s="22"/>
      <c r="AR62" s="22"/>
      <c r="AS62" s="55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0"/>
      <c r="BZ62" s="20"/>
      <c r="CI62" s="22"/>
      <c r="CJ62" s="23"/>
      <c r="CK62" s="23"/>
      <c r="CL62" s="11"/>
      <c r="CM62" s="11"/>
      <c r="CN62" s="11"/>
      <c r="CO62" s="11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</row>
    <row r="63" spans="1:129" hidden="1" outlineLevel="1">
      <c r="A63" s="22"/>
      <c r="B63" s="55"/>
      <c r="C63" s="22"/>
      <c r="D63" s="22"/>
      <c r="E63" s="22"/>
      <c r="F63" s="22"/>
      <c r="G63" s="22"/>
      <c r="H63" s="55"/>
      <c r="I63" s="55"/>
      <c r="J63" s="22"/>
      <c r="K63" s="22"/>
      <c r="L63" s="22"/>
      <c r="M63" s="22"/>
      <c r="N63" s="22"/>
      <c r="O63" s="22"/>
      <c r="P63" s="22"/>
      <c r="Q63" s="22"/>
      <c r="R63" s="56"/>
      <c r="S63" s="56"/>
      <c r="T63" s="22"/>
      <c r="U63" s="22"/>
      <c r="V63" s="22"/>
      <c r="W63" s="22"/>
      <c r="X63" s="89"/>
      <c r="Y63" s="89"/>
      <c r="Z63" s="22"/>
      <c r="AA63" s="22"/>
      <c r="AB63" s="22"/>
      <c r="AC63" s="57"/>
      <c r="AD63" s="56"/>
      <c r="AE63" s="22"/>
      <c r="AF63" s="22"/>
      <c r="AG63" s="22"/>
      <c r="AH63" s="22"/>
      <c r="AI63" s="89"/>
      <c r="AJ63" s="22"/>
      <c r="AK63" s="22"/>
      <c r="AL63" s="22"/>
      <c r="AM63" s="22"/>
      <c r="AN63" s="22"/>
      <c r="AO63" s="22"/>
      <c r="AP63" s="22"/>
      <c r="AQ63" s="22"/>
      <c r="AR63" s="22"/>
      <c r="AS63" s="55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0"/>
      <c r="BZ63" s="20"/>
      <c r="CI63" s="22"/>
      <c r="CJ63" s="23"/>
      <c r="CK63" s="23"/>
      <c r="CL63" s="11"/>
      <c r="CM63" s="11"/>
      <c r="CN63" s="11"/>
      <c r="CO63" s="11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</row>
    <row r="64" spans="1:129" hidden="1" outlineLevel="1">
      <c r="A64" s="22"/>
      <c r="B64" s="55"/>
      <c r="C64" s="22"/>
      <c r="D64" s="22"/>
      <c r="E64" s="22"/>
      <c r="F64" s="22"/>
      <c r="G64" s="22"/>
      <c r="H64" s="55"/>
      <c r="I64" s="55"/>
      <c r="J64" s="22"/>
      <c r="K64" s="22"/>
      <c r="L64" s="22"/>
      <c r="M64" s="22"/>
      <c r="N64" s="22"/>
      <c r="O64" s="22"/>
      <c r="P64" s="22"/>
      <c r="Q64" s="22"/>
      <c r="R64" s="56"/>
      <c r="S64" s="56"/>
      <c r="T64" s="22"/>
      <c r="U64" s="22"/>
      <c r="V64" s="22"/>
      <c r="W64" s="22"/>
      <c r="X64" s="89"/>
      <c r="Y64" s="89"/>
      <c r="Z64" s="22"/>
      <c r="AA64" s="22"/>
      <c r="AB64" s="22"/>
      <c r="AC64" s="57"/>
      <c r="AD64" s="56"/>
      <c r="AE64" s="22"/>
      <c r="AF64" s="22"/>
      <c r="AG64" s="22"/>
      <c r="AH64" s="22"/>
      <c r="AI64" s="89"/>
      <c r="AJ64" s="22"/>
      <c r="AK64" s="22"/>
      <c r="AL64" s="22"/>
      <c r="AM64" s="22"/>
      <c r="AN64" s="22"/>
      <c r="AO64" s="22"/>
      <c r="AP64" s="22"/>
      <c r="AQ64" s="22"/>
      <c r="AR64" s="22"/>
      <c r="AS64" s="55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0"/>
      <c r="BZ64" s="20"/>
      <c r="CI64" s="22"/>
      <c r="CJ64" s="23"/>
      <c r="CK64" s="23"/>
      <c r="CL64" s="11"/>
      <c r="CM64" s="11"/>
      <c r="CN64" s="11"/>
      <c r="CO64" s="11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</row>
    <row r="65" spans="1:121" hidden="1" outlineLevel="1">
      <c r="A65" s="22"/>
      <c r="B65" s="55"/>
      <c r="C65" s="22"/>
      <c r="D65" s="22"/>
      <c r="E65" s="22"/>
      <c r="F65" s="22"/>
      <c r="G65" s="22"/>
      <c r="H65" s="55"/>
      <c r="I65" s="55"/>
      <c r="J65" s="22"/>
      <c r="K65" s="22"/>
      <c r="L65" s="22"/>
      <c r="M65" s="22"/>
      <c r="N65" s="22"/>
      <c r="O65" s="22"/>
      <c r="P65" s="22"/>
      <c r="Q65" s="22"/>
      <c r="R65" s="56"/>
      <c r="S65" s="56"/>
      <c r="T65" s="22"/>
      <c r="U65" s="22"/>
      <c r="V65" s="22"/>
      <c r="W65" s="22"/>
      <c r="X65" s="89"/>
      <c r="Y65" s="89"/>
      <c r="Z65" s="22"/>
      <c r="AA65" s="22"/>
      <c r="AB65" s="22"/>
      <c r="AC65" s="57"/>
      <c r="AD65" s="56"/>
      <c r="AE65" s="22"/>
      <c r="AF65" s="22"/>
      <c r="AG65" s="22"/>
      <c r="AH65" s="22"/>
      <c r="AI65" s="89"/>
      <c r="AJ65" s="22"/>
      <c r="AK65" s="22"/>
      <c r="AL65" s="22"/>
      <c r="AM65" s="22"/>
      <c r="AN65" s="22"/>
      <c r="AO65" s="22"/>
      <c r="AP65" s="22"/>
      <c r="AQ65" s="22"/>
      <c r="AR65" s="22"/>
      <c r="AS65" s="55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0"/>
      <c r="BZ65" s="20"/>
      <c r="CI65" s="22"/>
      <c r="CJ65" s="23"/>
      <c r="CK65" s="23"/>
      <c r="CL65" s="11"/>
      <c r="CM65" s="11"/>
      <c r="CN65" s="11"/>
      <c r="CO65" s="11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</row>
    <row r="66" spans="1:121" hidden="1" outlineLevel="1">
      <c r="A66" s="22"/>
      <c r="B66" s="55"/>
      <c r="C66" s="22"/>
      <c r="D66" s="22"/>
      <c r="E66" s="22"/>
      <c r="F66" s="22"/>
      <c r="G66" s="22"/>
      <c r="H66" s="55"/>
      <c r="I66" s="55"/>
      <c r="J66" s="22"/>
      <c r="K66" s="22"/>
      <c r="L66" s="22"/>
      <c r="M66" s="22"/>
      <c r="N66" s="22"/>
      <c r="O66" s="22"/>
      <c r="P66" s="22"/>
      <c r="Q66" s="22"/>
      <c r="R66" s="56"/>
      <c r="S66" s="56"/>
      <c r="T66" s="22"/>
      <c r="U66" s="22"/>
      <c r="V66" s="22"/>
      <c r="W66" s="22"/>
      <c r="X66" s="89"/>
      <c r="Y66" s="89"/>
      <c r="Z66" s="22"/>
      <c r="AA66" s="22"/>
      <c r="AB66" s="22"/>
      <c r="AC66" s="57"/>
      <c r="AD66" s="56"/>
      <c r="AE66" s="22"/>
      <c r="AF66" s="22"/>
      <c r="AG66" s="22"/>
      <c r="AH66" s="22"/>
      <c r="AI66" s="89"/>
      <c r="AJ66" s="22"/>
      <c r="AK66" s="22"/>
      <c r="AL66" s="22"/>
      <c r="AM66" s="22"/>
      <c r="AN66" s="22"/>
      <c r="AO66" s="22"/>
      <c r="AP66" s="22"/>
      <c r="AQ66" s="22"/>
      <c r="AR66" s="22"/>
      <c r="AS66" s="55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0"/>
      <c r="BZ66" s="20"/>
      <c r="CI66" s="22"/>
      <c r="CJ66" s="23"/>
      <c r="CK66" s="23"/>
      <c r="CL66" s="11"/>
      <c r="CM66" s="11"/>
      <c r="CN66" s="11"/>
      <c r="CO66" s="11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</row>
    <row r="67" spans="1:121" hidden="1" outlineLevel="1">
      <c r="A67" s="22"/>
      <c r="B67" s="55"/>
      <c r="C67" s="22"/>
      <c r="D67" s="22"/>
      <c r="E67" s="22"/>
      <c r="F67" s="22"/>
      <c r="G67" s="22"/>
      <c r="H67" s="55"/>
      <c r="I67" s="55"/>
      <c r="J67" s="22"/>
      <c r="K67" s="22"/>
      <c r="L67" s="22"/>
      <c r="M67" s="22"/>
      <c r="N67" s="22"/>
      <c r="O67" s="22"/>
      <c r="P67" s="22"/>
      <c r="Q67" s="22"/>
      <c r="R67" s="56"/>
      <c r="S67" s="56"/>
      <c r="T67" s="22"/>
      <c r="U67" s="22"/>
      <c r="V67" s="22"/>
      <c r="W67" s="22"/>
      <c r="X67" s="89"/>
      <c r="Y67" s="89"/>
      <c r="Z67" s="22"/>
      <c r="AA67" s="22"/>
      <c r="AB67" s="22"/>
      <c r="AC67" s="57"/>
      <c r="AD67" s="56"/>
      <c r="AE67" s="22"/>
      <c r="AF67" s="22"/>
      <c r="AG67" s="22"/>
      <c r="AH67" s="22"/>
      <c r="AI67" s="89"/>
      <c r="AJ67" s="22"/>
      <c r="AK67" s="22"/>
      <c r="AL67" s="22"/>
      <c r="AM67" s="22"/>
      <c r="AN67" s="22"/>
      <c r="AO67" s="22"/>
      <c r="AP67" s="22"/>
      <c r="AQ67" s="22"/>
      <c r="AR67" s="22"/>
      <c r="AS67" s="55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0"/>
      <c r="BZ67" s="20"/>
      <c r="CI67" s="22"/>
      <c r="CJ67" s="23"/>
      <c r="CK67" s="23"/>
      <c r="CL67" s="11"/>
      <c r="CM67" s="11"/>
      <c r="CN67" s="11"/>
      <c r="CO67" s="11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</row>
    <row r="68" spans="1:121" hidden="1" outlineLevel="1">
      <c r="A68" s="22"/>
      <c r="B68" s="55"/>
      <c r="C68" s="22"/>
      <c r="D68" s="22"/>
      <c r="E68" s="22"/>
      <c r="F68" s="22"/>
      <c r="G68" s="22"/>
      <c r="H68" s="55"/>
      <c r="I68" s="55"/>
      <c r="J68" s="22"/>
      <c r="K68" s="22"/>
      <c r="L68" s="22"/>
      <c r="M68" s="22"/>
      <c r="N68" s="22"/>
      <c r="O68" s="22"/>
      <c r="P68" s="22"/>
      <c r="Q68" s="22"/>
      <c r="R68" s="56"/>
      <c r="S68" s="56"/>
      <c r="T68" s="22"/>
      <c r="U68" s="22"/>
      <c r="V68" s="22"/>
      <c r="W68" s="22"/>
      <c r="X68" s="89"/>
      <c r="Y68" s="89"/>
      <c r="Z68" s="22"/>
      <c r="AA68" s="22"/>
      <c r="AB68" s="22"/>
      <c r="AC68" s="57"/>
      <c r="AD68" s="56"/>
      <c r="AE68" s="22"/>
      <c r="AF68" s="22"/>
      <c r="AG68" s="22"/>
      <c r="AH68" s="22"/>
      <c r="AI68" s="89"/>
      <c r="AJ68" s="22"/>
      <c r="AK68" s="22"/>
      <c r="AL68" s="22"/>
      <c r="AM68" s="22"/>
      <c r="AN68" s="22"/>
      <c r="AO68" s="22"/>
      <c r="AP68" s="22"/>
      <c r="AQ68" s="22"/>
      <c r="AR68" s="22"/>
      <c r="AS68" s="55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0"/>
      <c r="BZ68" s="20"/>
      <c r="CI68" s="22"/>
      <c r="CJ68" s="23"/>
      <c r="CK68" s="23"/>
      <c r="CL68" s="11"/>
      <c r="CM68" s="11"/>
      <c r="CN68" s="11"/>
      <c r="CO68" s="11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</row>
    <row r="69" spans="1:121" hidden="1" outlineLevel="1">
      <c r="A69" s="22"/>
      <c r="B69" s="55"/>
      <c r="C69" s="22"/>
      <c r="D69" s="22"/>
      <c r="E69" s="22"/>
      <c r="F69" s="22"/>
      <c r="G69" s="22"/>
      <c r="H69" s="55"/>
      <c r="I69" s="55"/>
      <c r="J69" s="22"/>
      <c r="K69" s="22"/>
      <c r="L69" s="22"/>
      <c r="M69" s="22"/>
      <c r="N69" s="22"/>
      <c r="O69" s="22"/>
      <c r="P69" s="22"/>
      <c r="Q69" s="22"/>
      <c r="R69" s="56"/>
      <c r="S69" s="56"/>
      <c r="T69" s="22"/>
      <c r="U69" s="22"/>
      <c r="V69" s="22"/>
      <c r="W69" s="22"/>
      <c r="X69" s="89"/>
      <c r="Y69" s="89"/>
      <c r="Z69" s="22"/>
      <c r="AA69" s="22"/>
      <c r="AB69" s="22"/>
      <c r="AC69" s="57"/>
      <c r="AD69" s="56"/>
      <c r="AE69" s="22"/>
      <c r="AF69" s="22"/>
      <c r="AG69" s="22"/>
      <c r="AH69" s="22"/>
      <c r="AI69" s="89"/>
      <c r="AJ69" s="22"/>
      <c r="AK69" s="22"/>
      <c r="AL69" s="22"/>
      <c r="AM69" s="22"/>
      <c r="AN69" s="22"/>
      <c r="AO69" s="22"/>
      <c r="AP69" s="22"/>
      <c r="AQ69" s="22"/>
      <c r="AR69" s="22"/>
      <c r="AS69" s="55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0"/>
      <c r="BZ69" s="20"/>
      <c r="CI69" s="22"/>
      <c r="CJ69" s="23"/>
      <c r="CK69" s="23"/>
      <c r="CL69" s="11"/>
      <c r="CM69" s="11"/>
      <c r="CN69" s="11"/>
      <c r="CO69" s="11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</row>
    <row r="70" spans="1:121" hidden="1" outlineLevel="1">
      <c r="A70" s="22"/>
      <c r="B70" s="55"/>
      <c r="C70" s="22"/>
      <c r="D70" s="22"/>
      <c r="E70" s="22"/>
      <c r="F70" s="22"/>
      <c r="G70" s="22"/>
      <c r="H70" s="55"/>
      <c r="I70" s="55"/>
      <c r="J70" s="22"/>
      <c r="K70" s="22"/>
      <c r="L70" s="22"/>
      <c r="M70" s="22"/>
      <c r="N70" s="22"/>
      <c r="O70" s="22"/>
      <c r="P70" s="22"/>
      <c r="Q70" s="22"/>
      <c r="R70" s="56"/>
      <c r="S70" s="56"/>
      <c r="T70" s="22"/>
      <c r="U70" s="22"/>
      <c r="V70" s="22"/>
      <c r="W70" s="22"/>
      <c r="X70" s="89"/>
      <c r="Y70" s="89"/>
      <c r="Z70" s="22"/>
      <c r="AA70" s="22"/>
      <c r="AB70" s="22"/>
      <c r="AC70" s="57"/>
      <c r="AD70" s="56"/>
      <c r="AE70" s="22"/>
      <c r="AF70" s="22"/>
      <c r="AG70" s="22"/>
      <c r="AH70" s="22"/>
      <c r="AI70" s="89"/>
      <c r="AJ70" s="22"/>
      <c r="AK70" s="22"/>
      <c r="AL70" s="22"/>
      <c r="AM70" s="22"/>
      <c r="AN70" s="22"/>
      <c r="AO70" s="22"/>
      <c r="AP70" s="22"/>
      <c r="AQ70" s="22"/>
      <c r="AR70" s="22"/>
      <c r="AS70" s="55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0"/>
      <c r="BZ70" s="20"/>
      <c r="CI70" s="22"/>
      <c r="CJ70" s="23"/>
      <c r="CK70" s="23"/>
      <c r="CL70" s="11"/>
      <c r="CM70" s="11"/>
      <c r="CN70" s="11"/>
      <c r="CO70" s="11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</row>
    <row r="71" spans="1:121" hidden="1" outlineLevel="1">
      <c r="A71" s="22"/>
      <c r="B71" s="55"/>
      <c r="C71" s="22"/>
      <c r="D71" s="22"/>
      <c r="E71" s="22"/>
      <c r="F71" s="22"/>
      <c r="G71" s="22"/>
      <c r="H71" s="55"/>
      <c r="I71" s="55"/>
      <c r="J71" s="22"/>
      <c r="K71" s="22"/>
      <c r="L71" s="22"/>
      <c r="M71" s="22"/>
      <c r="N71" s="22"/>
      <c r="O71" s="22"/>
      <c r="P71" s="22"/>
      <c r="Q71" s="22"/>
      <c r="R71" s="56"/>
      <c r="S71" s="56"/>
      <c r="T71" s="22"/>
      <c r="U71" s="22"/>
      <c r="V71" s="22"/>
      <c r="W71" s="22"/>
      <c r="X71" s="89"/>
      <c r="Y71" s="89"/>
      <c r="Z71" s="22"/>
      <c r="AA71" s="22"/>
      <c r="AB71" s="22"/>
      <c r="AC71" s="57"/>
      <c r="AD71" s="56"/>
      <c r="AE71" s="22"/>
      <c r="AF71" s="22"/>
      <c r="AG71" s="22"/>
      <c r="AH71" s="22"/>
      <c r="AI71" s="89"/>
      <c r="AJ71" s="22"/>
      <c r="AK71" s="22"/>
      <c r="AL71" s="22"/>
      <c r="AM71" s="22"/>
      <c r="AN71" s="22"/>
      <c r="AO71" s="22"/>
      <c r="AP71" s="22"/>
      <c r="AQ71" s="22"/>
      <c r="AR71" s="22"/>
      <c r="AS71" s="55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0"/>
      <c r="BZ71" s="20"/>
      <c r="CI71" s="22"/>
      <c r="CJ71" s="23"/>
      <c r="CK71" s="23"/>
      <c r="CL71" s="11"/>
      <c r="CM71" s="11"/>
      <c r="CN71" s="11"/>
      <c r="CO71" s="11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</row>
    <row r="72" spans="1:121" hidden="1" outlineLevel="1">
      <c r="A72" s="22"/>
      <c r="B72" s="55"/>
      <c r="C72" s="22"/>
      <c r="D72" s="22"/>
      <c r="E72" s="22"/>
      <c r="F72" s="22"/>
      <c r="G72" s="22"/>
      <c r="H72" s="55"/>
      <c r="I72" s="55"/>
      <c r="J72" s="22"/>
      <c r="K72" s="22"/>
      <c r="L72" s="22"/>
      <c r="M72" s="22"/>
      <c r="N72" s="22"/>
      <c r="O72" s="22"/>
      <c r="P72" s="22"/>
      <c r="Q72" s="22"/>
      <c r="R72" s="56"/>
      <c r="S72" s="56"/>
      <c r="T72" s="22"/>
      <c r="U72" s="22"/>
      <c r="V72" s="22"/>
      <c r="W72" s="22"/>
      <c r="X72" s="89"/>
      <c r="Y72" s="89"/>
      <c r="Z72" s="22"/>
      <c r="AA72" s="22"/>
      <c r="AB72" s="22"/>
      <c r="AC72" s="57"/>
      <c r="AD72" s="56"/>
      <c r="AE72" s="22"/>
      <c r="AF72" s="22"/>
      <c r="AG72" s="22"/>
      <c r="AH72" s="22"/>
      <c r="AI72" s="89"/>
      <c r="AJ72" s="22"/>
      <c r="AK72" s="22"/>
      <c r="AL72" s="22"/>
      <c r="AM72" s="22"/>
      <c r="AN72" s="22"/>
      <c r="AO72" s="22"/>
      <c r="AP72" s="22"/>
      <c r="AQ72" s="22"/>
      <c r="AR72" s="22"/>
      <c r="AS72" s="55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0"/>
      <c r="BZ72" s="20"/>
      <c r="CI72" s="22"/>
      <c r="CJ72" s="23"/>
      <c r="CK72" s="23"/>
      <c r="CL72" s="11"/>
      <c r="CM72" s="11"/>
      <c r="CN72" s="11"/>
      <c r="CO72" s="11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</row>
    <row r="73" spans="1:121" hidden="1" outlineLevel="1">
      <c r="A73" s="22"/>
      <c r="B73" s="55"/>
      <c r="C73" s="22"/>
      <c r="D73" s="22"/>
      <c r="E73" s="22"/>
      <c r="F73" s="22"/>
      <c r="G73" s="22"/>
      <c r="H73" s="55"/>
      <c r="I73" s="55"/>
      <c r="J73" s="22"/>
      <c r="K73" s="22"/>
      <c r="L73" s="22"/>
      <c r="M73" s="22"/>
      <c r="N73" s="22"/>
      <c r="O73" s="22"/>
      <c r="P73" s="22"/>
      <c r="Q73" s="22"/>
      <c r="R73" s="56"/>
      <c r="S73" s="56"/>
      <c r="T73" s="22"/>
      <c r="U73" s="22"/>
      <c r="V73" s="22"/>
      <c r="W73" s="22"/>
      <c r="X73" s="89"/>
      <c r="Y73" s="89"/>
      <c r="Z73" s="22"/>
      <c r="AA73" s="22"/>
      <c r="AB73" s="22"/>
      <c r="AC73" s="57"/>
      <c r="AD73" s="56"/>
      <c r="AE73" s="22"/>
      <c r="AF73" s="22"/>
      <c r="AG73" s="22"/>
      <c r="AH73" s="22"/>
      <c r="AI73" s="89"/>
      <c r="AJ73" s="22"/>
      <c r="AK73" s="22"/>
      <c r="AL73" s="22"/>
      <c r="AM73" s="22"/>
      <c r="AN73" s="22"/>
      <c r="AO73" s="22"/>
      <c r="AP73" s="22"/>
      <c r="AQ73" s="22"/>
      <c r="AR73" s="22"/>
      <c r="AS73" s="55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0"/>
      <c r="BZ73" s="20"/>
      <c r="CI73" s="22"/>
      <c r="CJ73" s="23"/>
      <c r="CK73" s="23"/>
      <c r="CL73" s="11"/>
      <c r="CM73" s="11"/>
      <c r="CN73" s="11"/>
      <c r="CO73" s="11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</row>
    <row r="74" spans="1:121" hidden="1" outlineLevel="1">
      <c r="A74" s="22"/>
      <c r="B74" s="55"/>
      <c r="C74" s="22"/>
      <c r="D74" s="22"/>
      <c r="E74" s="22"/>
      <c r="F74" s="22"/>
      <c r="G74" s="22"/>
      <c r="H74" s="55"/>
      <c r="I74" s="55"/>
      <c r="J74" s="22"/>
      <c r="K74" s="22"/>
      <c r="L74" s="22"/>
      <c r="M74" s="22"/>
      <c r="N74" s="22"/>
      <c r="O74" s="22"/>
      <c r="P74" s="22"/>
      <c r="Q74" s="22"/>
      <c r="R74" s="56"/>
      <c r="S74" s="56"/>
      <c r="T74" s="22"/>
      <c r="U74" s="22"/>
      <c r="V74" s="22"/>
      <c r="W74" s="22"/>
      <c r="X74" s="89"/>
      <c r="Y74" s="89"/>
      <c r="Z74" s="22"/>
      <c r="AA74" s="22"/>
      <c r="AB74" s="22"/>
      <c r="AC74" s="57"/>
      <c r="AD74" s="56"/>
      <c r="AE74" s="22"/>
      <c r="AF74" s="22"/>
      <c r="AG74" s="22"/>
      <c r="AH74" s="22"/>
      <c r="AI74" s="89"/>
      <c r="AJ74" s="22"/>
      <c r="AK74" s="22"/>
      <c r="AL74" s="22"/>
      <c r="AM74" s="22"/>
      <c r="AN74" s="22"/>
      <c r="AO74" s="22"/>
      <c r="AP74" s="22"/>
      <c r="AQ74" s="22"/>
      <c r="AR74" s="22"/>
      <c r="AS74" s="55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0"/>
      <c r="BZ74" s="20"/>
      <c r="CI74" s="22"/>
      <c r="CJ74" s="23"/>
      <c r="CK74" s="23"/>
      <c r="CL74" s="11"/>
      <c r="CM74" s="11"/>
      <c r="CN74" s="11"/>
      <c r="CO74" s="11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</row>
    <row r="75" spans="1:121" hidden="1" outlineLevel="1">
      <c r="A75" s="22"/>
      <c r="B75" s="55"/>
      <c r="C75" s="22"/>
      <c r="D75" s="22"/>
      <c r="E75" s="22"/>
      <c r="F75" s="22"/>
      <c r="G75" s="22"/>
      <c r="H75" s="55"/>
      <c r="I75" s="55"/>
      <c r="J75" s="22"/>
      <c r="K75" s="22"/>
      <c r="L75" s="22"/>
      <c r="M75" s="22"/>
      <c r="N75" s="22"/>
      <c r="O75" s="22"/>
      <c r="P75" s="22"/>
      <c r="Q75" s="22"/>
      <c r="R75" s="56"/>
      <c r="S75" s="56"/>
      <c r="T75" s="22"/>
      <c r="U75" s="22"/>
      <c r="V75" s="22"/>
      <c r="W75" s="22"/>
      <c r="X75" s="89"/>
      <c r="Y75" s="89"/>
      <c r="Z75" s="22"/>
      <c r="AA75" s="22"/>
      <c r="AB75" s="22"/>
      <c r="AC75" s="57"/>
      <c r="AD75" s="56"/>
      <c r="AE75" s="22"/>
      <c r="AF75" s="22"/>
      <c r="AG75" s="22"/>
      <c r="AH75" s="22"/>
      <c r="AI75" s="89"/>
      <c r="AJ75" s="22"/>
      <c r="AK75" s="22"/>
      <c r="AL75" s="22"/>
      <c r="AM75" s="22"/>
      <c r="AN75" s="22"/>
      <c r="AO75" s="22"/>
      <c r="AP75" s="22"/>
      <c r="AQ75" s="22"/>
      <c r="AR75" s="22"/>
      <c r="AS75" s="55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0"/>
      <c r="BZ75" s="20"/>
      <c r="CI75" s="22"/>
      <c r="CJ75" s="23"/>
      <c r="CK75" s="23"/>
      <c r="CL75" s="11"/>
      <c r="CM75" s="11"/>
      <c r="CN75" s="11"/>
      <c r="CO75" s="11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</row>
    <row r="76" spans="1:121" hidden="1" outlineLevel="1">
      <c r="A76" s="22"/>
      <c r="B76" s="55"/>
      <c r="C76" s="22"/>
      <c r="D76" s="22"/>
      <c r="E76" s="22"/>
      <c r="F76" s="22"/>
      <c r="G76" s="22"/>
      <c r="H76" s="55"/>
      <c r="I76" s="55"/>
      <c r="J76" s="22"/>
      <c r="K76" s="22"/>
      <c r="L76" s="22"/>
      <c r="M76" s="22"/>
      <c r="N76" s="22"/>
      <c r="O76" s="22"/>
      <c r="P76" s="22"/>
      <c r="Q76" s="22"/>
      <c r="R76" s="56"/>
      <c r="S76" s="56"/>
      <c r="T76" s="22"/>
      <c r="U76" s="22"/>
      <c r="V76" s="22"/>
      <c r="W76" s="22"/>
      <c r="X76" s="89"/>
      <c r="Y76" s="89"/>
      <c r="Z76" s="22"/>
      <c r="AA76" s="22"/>
      <c r="AB76" s="22"/>
      <c r="AC76" s="57"/>
      <c r="AD76" s="56"/>
      <c r="AE76" s="22"/>
      <c r="AF76" s="22"/>
      <c r="AG76" s="22"/>
      <c r="AH76" s="22"/>
      <c r="AI76" s="89"/>
      <c r="AJ76" s="22"/>
      <c r="AK76" s="22"/>
      <c r="AL76" s="22"/>
      <c r="AM76" s="22"/>
      <c r="AN76" s="22"/>
      <c r="AO76" s="22"/>
      <c r="AP76" s="22"/>
      <c r="AQ76" s="22"/>
      <c r="AR76" s="22"/>
      <c r="AS76" s="55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0"/>
      <c r="BZ76" s="20"/>
      <c r="CI76" s="22"/>
      <c r="CJ76" s="23"/>
      <c r="CK76" s="23"/>
      <c r="CL76" s="11"/>
      <c r="CM76" s="11"/>
      <c r="CN76" s="11"/>
      <c r="CO76" s="11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</row>
    <row r="77" spans="1:121" hidden="1" outlineLevel="1">
      <c r="A77" s="22"/>
      <c r="B77" s="55"/>
      <c r="C77" s="22"/>
      <c r="D77" s="22"/>
      <c r="E77" s="22"/>
      <c r="F77" s="22"/>
      <c r="G77" s="22"/>
      <c r="H77" s="55"/>
      <c r="I77" s="55"/>
      <c r="J77" s="22"/>
      <c r="K77" s="22"/>
      <c r="L77" s="22"/>
      <c r="M77" s="22"/>
      <c r="N77" s="22"/>
      <c r="O77" s="22"/>
      <c r="P77" s="22"/>
      <c r="Q77" s="22"/>
      <c r="R77" s="56"/>
      <c r="S77" s="56"/>
      <c r="T77" s="22"/>
      <c r="U77" s="22"/>
      <c r="V77" s="22"/>
      <c r="W77" s="22"/>
      <c r="X77" s="89"/>
      <c r="Y77" s="89"/>
      <c r="Z77" s="22"/>
      <c r="AA77" s="22"/>
      <c r="AB77" s="22"/>
      <c r="AC77" s="57"/>
      <c r="AD77" s="56"/>
      <c r="AE77" s="22"/>
      <c r="AF77" s="22"/>
      <c r="AG77" s="22"/>
      <c r="AH77" s="22"/>
      <c r="AI77" s="89"/>
      <c r="AJ77" s="22"/>
      <c r="AK77" s="22"/>
      <c r="AL77" s="22"/>
      <c r="AM77" s="22"/>
      <c r="AN77" s="22"/>
      <c r="AO77" s="22"/>
      <c r="AP77" s="22"/>
      <c r="AQ77" s="22"/>
      <c r="AR77" s="22"/>
      <c r="AS77" s="55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0"/>
      <c r="BZ77" s="20"/>
      <c r="CI77" s="22"/>
      <c r="CJ77" s="23"/>
      <c r="CK77" s="23"/>
      <c r="CL77" s="11"/>
      <c r="CM77" s="11"/>
      <c r="CN77" s="11"/>
      <c r="CO77" s="11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</row>
    <row r="78" spans="1:121" hidden="1" outlineLevel="1">
      <c r="A78" s="22"/>
      <c r="B78" s="55"/>
      <c r="C78" s="22"/>
      <c r="D78" s="22"/>
      <c r="E78" s="22"/>
      <c r="F78" s="22"/>
      <c r="G78" s="22"/>
      <c r="H78" s="55"/>
      <c r="I78" s="55"/>
      <c r="J78" s="22"/>
      <c r="K78" s="22"/>
      <c r="L78" s="22"/>
      <c r="M78" s="22"/>
      <c r="N78" s="22"/>
      <c r="O78" s="22"/>
      <c r="P78" s="22"/>
      <c r="Q78" s="22"/>
      <c r="R78" s="56"/>
      <c r="S78" s="56"/>
      <c r="T78" s="22"/>
      <c r="U78" s="22"/>
      <c r="V78" s="22"/>
      <c r="W78" s="22"/>
      <c r="X78" s="89"/>
      <c r="Y78" s="89"/>
      <c r="Z78" s="22"/>
      <c r="AA78" s="22"/>
      <c r="AB78" s="22"/>
      <c r="AC78" s="57"/>
      <c r="AD78" s="56"/>
      <c r="AE78" s="22"/>
      <c r="AF78" s="22"/>
      <c r="AG78" s="22"/>
      <c r="AH78" s="22"/>
      <c r="AI78" s="89"/>
      <c r="AJ78" s="22"/>
      <c r="AK78" s="22"/>
      <c r="AL78" s="22"/>
      <c r="AM78" s="22"/>
      <c r="AN78" s="22"/>
      <c r="AO78" s="22"/>
      <c r="AP78" s="22"/>
      <c r="AQ78" s="22"/>
      <c r="AR78" s="22"/>
      <c r="AS78" s="55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0"/>
      <c r="BZ78" s="20"/>
      <c r="CI78" s="22"/>
      <c r="CJ78" s="23"/>
      <c r="CK78" s="23"/>
      <c r="CL78" s="11"/>
      <c r="CM78" s="11"/>
      <c r="CN78" s="11"/>
      <c r="CO78" s="11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</row>
    <row r="79" spans="1:121" hidden="1" outlineLevel="1">
      <c r="A79" s="22"/>
      <c r="B79" s="55"/>
      <c r="C79" s="22"/>
      <c r="D79" s="22"/>
      <c r="E79" s="22"/>
      <c r="F79" s="22"/>
      <c r="G79" s="22"/>
      <c r="H79" s="55"/>
      <c r="I79" s="55"/>
      <c r="J79" s="22"/>
      <c r="K79" s="22"/>
      <c r="L79" s="22"/>
      <c r="M79" s="22"/>
      <c r="N79" s="22"/>
      <c r="O79" s="22"/>
      <c r="P79" s="22"/>
      <c r="Q79" s="22"/>
      <c r="R79" s="56"/>
      <c r="S79" s="56"/>
      <c r="T79" s="22"/>
      <c r="U79" s="22"/>
      <c r="V79" s="22"/>
      <c r="W79" s="22"/>
      <c r="X79" s="89"/>
      <c r="Y79" s="89"/>
      <c r="Z79" s="22"/>
      <c r="AA79" s="22"/>
      <c r="AB79" s="22"/>
      <c r="AC79" s="57"/>
      <c r="AD79" s="56"/>
      <c r="AE79" s="22"/>
      <c r="AF79" s="22"/>
      <c r="AG79" s="22"/>
      <c r="AH79" s="22"/>
      <c r="AI79" s="89"/>
      <c r="AJ79" s="22"/>
      <c r="AK79" s="22"/>
      <c r="AL79" s="22"/>
      <c r="AM79" s="22"/>
      <c r="AN79" s="22"/>
      <c r="AO79" s="22"/>
      <c r="AP79" s="22"/>
      <c r="AQ79" s="22"/>
      <c r="AR79" s="22"/>
      <c r="AS79" s="55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0"/>
      <c r="BZ79" s="20"/>
      <c r="CI79" s="22"/>
      <c r="CJ79" s="23"/>
      <c r="CK79" s="23"/>
      <c r="CL79" s="11"/>
      <c r="CM79" s="11"/>
      <c r="CN79" s="11"/>
      <c r="CO79" s="11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</row>
    <row r="80" spans="1:121" hidden="1" outlineLevel="1">
      <c r="A80" s="22"/>
      <c r="B80" s="55"/>
      <c r="C80" s="22"/>
      <c r="D80" s="22"/>
      <c r="E80" s="22"/>
      <c r="F80" s="22"/>
      <c r="G80" s="22"/>
      <c r="H80" s="55"/>
      <c r="I80" s="55"/>
      <c r="J80" s="22"/>
      <c r="K80" s="22"/>
      <c r="L80" s="22"/>
      <c r="M80" s="22"/>
      <c r="N80" s="22"/>
      <c r="O80" s="22"/>
      <c r="P80" s="22"/>
      <c r="Q80" s="22"/>
      <c r="R80" s="56"/>
      <c r="S80" s="56"/>
      <c r="T80" s="22"/>
      <c r="U80" s="22"/>
      <c r="V80" s="22"/>
      <c r="W80" s="22"/>
      <c r="X80" s="89"/>
      <c r="Y80" s="89"/>
      <c r="Z80" s="22"/>
      <c r="AA80" s="22"/>
      <c r="AB80" s="22"/>
      <c r="AC80" s="57"/>
      <c r="AD80" s="56"/>
      <c r="AE80" s="22"/>
      <c r="AF80" s="22"/>
      <c r="AG80" s="22"/>
      <c r="AH80" s="22"/>
      <c r="AI80" s="89"/>
      <c r="AJ80" s="22"/>
      <c r="AK80" s="22"/>
      <c r="AL80" s="22"/>
      <c r="AM80" s="22"/>
      <c r="AN80" s="22"/>
      <c r="AO80" s="22"/>
      <c r="AP80" s="22"/>
      <c r="AQ80" s="22"/>
      <c r="AR80" s="22"/>
      <c r="AS80" s="55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0"/>
      <c r="BZ80" s="20"/>
      <c r="CI80" s="22"/>
      <c r="CJ80" s="23"/>
      <c r="CK80" s="23"/>
      <c r="CL80" s="11"/>
      <c r="CM80" s="11"/>
      <c r="CN80" s="11"/>
      <c r="CO80" s="11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</row>
    <row r="81" spans="1:121" hidden="1" outlineLevel="1">
      <c r="A81" s="22"/>
      <c r="B81" s="55"/>
      <c r="C81" s="22"/>
      <c r="D81" s="22"/>
      <c r="E81" s="22"/>
      <c r="F81" s="22"/>
      <c r="G81" s="22"/>
      <c r="H81" s="55"/>
      <c r="I81" s="55"/>
      <c r="J81" s="22"/>
      <c r="K81" s="22"/>
      <c r="L81" s="22"/>
      <c r="M81" s="22"/>
      <c r="N81" s="22"/>
      <c r="O81" s="22"/>
      <c r="P81" s="22"/>
      <c r="Q81" s="22"/>
      <c r="R81" s="56"/>
      <c r="S81" s="56"/>
      <c r="T81" s="22"/>
      <c r="U81" s="22"/>
      <c r="V81" s="22"/>
      <c r="W81" s="22"/>
      <c r="X81" s="89"/>
      <c r="Y81" s="89"/>
      <c r="Z81" s="22"/>
      <c r="AA81" s="22"/>
      <c r="AB81" s="22"/>
      <c r="AC81" s="57"/>
      <c r="AD81" s="56"/>
      <c r="AE81" s="22"/>
      <c r="AF81" s="22"/>
      <c r="AG81" s="22"/>
      <c r="AH81" s="22"/>
      <c r="AI81" s="89"/>
      <c r="AJ81" s="22"/>
      <c r="AK81" s="22"/>
      <c r="AL81" s="22"/>
      <c r="AM81" s="22"/>
      <c r="AN81" s="22"/>
      <c r="AO81" s="22"/>
      <c r="AP81" s="22"/>
      <c r="AQ81" s="22"/>
      <c r="AR81" s="22"/>
      <c r="AS81" s="55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0"/>
      <c r="BZ81" s="20"/>
      <c r="CI81" s="22"/>
      <c r="CJ81" s="23"/>
      <c r="CK81" s="23"/>
      <c r="CL81" s="11"/>
      <c r="CM81" s="11"/>
      <c r="CN81" s="11"/>
      <c r="CO81" s="11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</row>
    <row r="82" spans="1:121" hidden="1" outlineLevel="1">
      <c r="A82" s="22"/>
      <c r="B82" s="55"/>
      <c r="C82" s="22"/>
      <c r="D82" s="22"/>
      <c r="E82" s="22"/>
      <c r="F82" s="22"/>
      <c r="G82" s="22"/>
      <c r="H82" s="55"/>
      <c r="I82" s="55"/>
      <c r="J82" s="22"/>
      <c r="K82" s="22"/>
      <c r="L82" s="22"/>
      <c r="M82" s="22"/>
      <c r="N82" s="22"/>
      <c r="O82" s="22"/>
      <c r="P82" s="22"/>
      <c r="Q82" s="22"/>
      <c r="R82" s="56"/>
      <c r="S82" s="56"/>
      <c r="T82" s="22"/>
      <c r="U82" s="22"/>
      <c r="V82" s="22"/>
      <c r="W82" s="22"/>
      <c r="X82" s="89"/>
      <c r="Y82" s="89"/>
      <c r="Z82" s="22"/>
      <c r="AA82" s="22"/>
      <c r="AB82" s="22"/>
      <c r="AC82" s="57"/>
      <c r="AD82" s="56"/>
      <c r="AE82" s="22"/>
      <c r="AF82" s="22"/>
      <c r="AG82" s="22"/>
      <c r="AH82" s="22"/>
      <c r="AI82" s="89"/>
      <c r="AJ82" s="22"/>
      <c r="AK82" s="22"/>
      <c r="AL82" s="22"/>
      <c r="AM82" s="22"/>
      <c r="AN82" s="22"/>
      <c r="AO82" s="22"/>
      <c r="AP82" s="22"/>
      <c r="AQ82" s="22"/>
      <c r="AR82" s="22"/>
      <c r="AS82" s="55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0"/>
      <c r="BZ82" s="20"/>
      <c r="CI82" s="22"/>
      <c r="CJ82" s="23"/>
      <c r="CK82" s="23"/>
      <c r="CL82" s="11"/>
      <c r="CM82" s="11"/>
      <c r="CN82" s="11"/>
      <c r="CO82" s="11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</row>
    <row r="83" spans="1:121" hidden="1" outlineLevel="1">
      <c r="A83" s="22"/>
      <c r="B83" s="55"/>
      <c r="C83" s="22"/>
      <c r="D83" s="22"/>
      <c r="E83" s="22"/>
      <c r="F83" s="22"/>
      <c r="G83" s="22"/>
      <c r="H83" s="55"/>
      <c r="I83" s="55"/>
      <c r="J83" s="22"/>
      <c r="K83" s="22"/>
      <c r="L83" s="22"/>
      <c r="M83" s="22"/>
      <c r="N83" s="22"/>
      <c r="O83" s="22"/>
      <c r="P83" s="22"/>
      <c r="Q83" s="22"/>
      <c r="R83" s="56"/>
      <c r="S83" s="56"/>
      <c r="T83" s="22"/>
      <c r="U83" s="22"/>
      <c r="V83" s="22"/>
      <c r="W83" s="22"/>
      <c r="X83" s="89"/>
      <c r="Y83" s="89"/>
      <c r="Z83" s="22"/>
      <c r="AA83" s="22"/>
      <c r="AB83" s="22"/>
      <c r="AC83" s="57"/>
      <c r="AD83" s="56"/>
      <c r="AE83" s="22"/>
      <c r="AF83" s="22"/>
      <c r="AG83" s="22"/>
      <c r="AH83" s="22"/>
      <c r="AI83" s="89"/>
      <c r="AJ83" s="22"/>
      <c r="AK83" s="22"/>
      <c r="AL83" s="22"/>
      <c r="AM83" s="22"/>
      <c r="AN83" s="22"/>
      <c r="AO83" s="22"/>
      <c r="AP83" s="22"/>
      <c r="AQ83" s="22"/>
      <c r="AR83" s="22"/>
      <c r="AS83" s="55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0"/>
      <c r="BZ83" s="20"/>
      <c r="CI83" s="22"/>
      <c r="CJ83" s="23"/>
      <c r="CK83" s="23"/>
      <c r="CL83" s="11"/>
      <c r="CM83" s="11"/>
      <c r="CN83" s="11"/>
      <c r="CO83" s="11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</row>
    <row r="84" spans="1:121" hidden="1" outlineLevel="1">
      <c r="A84" s="22"/>
      <c r="B84" s="55"/>
      <c r="C84" s="22"/>
      <c r="D84" s="22"/>
      <c r="E84" s="22"/>
      <c r="F84" s="22"/>
      <c r="G84" s="22"/>
      <c r="H84" s="55"/>
      <c r="I84" s="55"/>
      <c r="J84" s="22"/>
      <c r="K84" s="22"/>
      <c r="L84" s="22"/>
      <c r="M84" s="22"/>
      <c r="N84" s="22"/>
      <c r="O84" s="22"/>
      <c r="P84" s="22"/>
      <c r="Q84" s="22"/>
      <c r="R84" s="56"/>
      <c r="S84" s="56"/>
      <c r="T84" s="22"/>
      <c r="U84" s="22"/>
      <c r="V84" s="22"/>
      <c r="W84" s="22"/>
      <c r="X84" s="89"/>
      <c r="Y84" s="89"/>
      <c r="Z84" s="22"/>
      <c r="AA84" s="22"/>
      <c r="AB84" s="22"/>
      <c r="AC84" s="57"/>
      <c r="AD84" s="56"/>
      <c r="AE84" s="22"/>
      <c r="AF84" s="22"/>
      <c r="AG84" s="22"/>
      <c r="AH84" s="22"/>
      <c r="AI84" s="89"/>
      <c r="AJ84" s="22"/>
      <c r="AK84" s="22"/>
      <c r="AL84" s="22"/>
      <c r="AM84" s="22"/>
      <c r="AN84" s="22"/>
      <c r="AO84" s="22"/>
      <c r="AP84" s="22"/>
      <c r="AQ84" s="22"/>
      <c r="AR84" s="22"/>
      <c r="AS84" s="55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0"/>
      <c r="BZ84" s="20"/>
      <c r="CI84" s="22"/>
      <c r="CJ84" s="23"/>
      <c r="CK84" s="23"/>
      <c r="CL84" s="11"/>
      <c r="CM84" s="11"/>
      <c r="CN84" s="11"/>
      <c r="CO84" s="11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</row>
    <row r="85" spans="1:121" hidden="1" outlineLevel="1">
      <c r="A85" s="22"/>
      <c r="B85" s="55"/>
      <c r="C85" s="22"/>
      <c r="D85" s="22"/>
      <c r="E85" s="22"/>
      <c r="F85" s="22"/>
      <c r="G85" s="22"/>
      <c r="H85" s="55"/>
      <c r="I85" s="55"/>
      <c r="J85" s="22"/>
      <c r="K85" s="22"/>
      <c r="L85" s="22"/>
      <c r="M85" s="22"/>
      <c r="N85" s="22"/>
      <c r="O85" s="22"/>
      <c r="P85" s="22"/>
      <c r="Q85" s="22"/>
      <c r="R85" s="56"/>
      <c r="S85" s="56"/>
      <c r="T85" s="22"/>
      <c r="U85" s="22"/>
      <c r="V85" s="22"/>
      <c r="W85" s="22"/>
      <c r="X85" s="89"/>
      <c r="Y85" s="89"/>
      <c r="Z85" s="22"/>
      <c r="AA85" s="22"/>
      <c r="AB85" s="22"/>
      <c r="AC85" s="57"/>
      <c r="AD85" s="56"/>
      <c r="AE85" s="22"/>
      <c r="AF85" s="22"/>
      <c r="AG85" s="22"/>
      <c r="AH85" s="22"/>
      <c r="AI85" s="89"/>
      <c r="AJ85" s="22"/>
      <c r="AK85" s="22"/>
      <c r="AL85" s="22"/>
      <c r="AM85" s="22"/>
      <c r="AN85" s="22"/>
      <c r="AO85" s="22"/>
      <c r="AP85" s="22"/>
      <c r="AQ85" s="22"/>
      <c r="AR85" s="22"/>
      <c r="AS85" s="55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0"/>
      <c r="BZ85" s="20"/>
      <c r="CI85" s="22"/>
      <c r="CJ85" s="23"/>
      <c r="CK85" s="23"/>
      <c r="CL85" s="11"/>
      <c r="CM85" s="11"/>
      <c r="CN85" s="11"/>
      <c r="CO85" s="11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</row>
    <row r="86" spans="1:121" hidden="1" outlineLevel="1">
      <c r="A86" s="22"/>
      <c r="B86" s="55"/>
      <c r="C86" s="22"/>
      <c r="D86" s="22"/>
      <c r="E86" s="22"/>
      <c r="F86" s="22"/>
      <c r="G86" s="22"/>
      <c r="H86" s="55"/>
      <c r="I86" s="55"/>
      <c r="J86" s="22"/>
      <c r="K86" s="22"/>
      <c r="L86" s="22"/>
      <c r="M86" s="22"/>
      <c r="N86" s="22"/>
      <c r="O86" s="22"/>
      <c r="P86" s="22"/>
      <c r="Q86" s="22"/>
      <c r="R86" s="56"/>
      <c r="S86" s="56"/>
      <c r="T86" s="22"/>
      <c r="U86" s="22"/>
      <c r="V86" s="22"/>
      <c r="W86" s="22"/>
      <c r="X86" s="89"/>
      <c r="Y86" s="89"/>
      <c r="Z86" s="22"/>
      <c r="AA86" s="22"/>
      <c r="AB86" s="22"/>
      <c r="AC86" s="57"/>
      <c r="AD86" s="56"/>
      <c r="AE86" s="22"/>
      <c r="AF86" s="22"/>
      <c r="AG86" s="22"/>
      <c r="AH86" s="22"/>
      <c r="AI86" s="89"/>
      <c r="AJ86" s="22"/>
      <c r="AK86" s="22"/>
      <c r="AL86" s="22"/>
      <c r="AM86" s="22"/>
      <c r="AN86" s="22"/>
      <c r="AO86" s="22"/>
      <c r="AP86" s="22"/>
      <c r="AQ86" s="22"/>
      <c r="AR86" s="22"/>
      <c r="AS86" s="55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0"/>
      <c r="BZ86" s="20"/>
      <c r="CI86" s="22"/>
      <c r="CJ86" s="23"/>
      <c r="CK86" s="23"/>
      <c r="CL86" s="11"/>
      <c r="CM86" s="11"/>
      <c r="CN86" s="11"/>
      <c r="CO86" s="11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</row>
    <row r="87" spans="1:121" hidden="1" outlineLevel="1">
      <c r="A87" s="22"/>
      <c r="B87" s="55"/>
      <c r="C87" s="22"/>
      <c r="D87" s="22"/>
      <c r="E87" s="22"/>
      <c r="F87" s="22"/>
      <c r="G87" s="22"/>
      <c r="H87" s="55"/>
      <c r="I87" s="55"/>
      <c r="J87" s="22"/>
      <c r="K87" s="22"/>
      <c r="L87" s="22"/>
      <c r="M87" s="22"/>
      <c r="N87" s="22"/>
      <c r="O87" s="22"/>
      <c r="P87" s="22"/>
      <c r="Q87" s="22"/>
      <c r="R87" s="56"/>
      <c r="S87" s="56"/>
      <c r="T87" s="22"/>
      <c r="U87" s="22"/>
      <c r="V87" s="22"/>
      <c r="W87" s="22"/>
      <c r="X87" s="89"/>
      <c r="Y87" s="89"/>
      <c r="Z87" s="22"/>
      <c r="AA87" s="22"/>
      <c r="AB87" s="22"/>
      <c r="AC87" s="57"/>
      <c r="AD87" s="56"/>
      <c r="AE87" s="22"/>
      <c r="AF87" s="22"/>
      <c r="AG87" s="22"/>
      <c r="AH87" s="22"/>
      <c r="AI87" s="89"/>
      <c r="AJ87" s="22"/>
      <c r="AK87" s="22"/>
      <c r="AL87" s="22"/>
      <c r="AM87" s="22"/>
      <c r="AN87" s="22"/>
      <c r="AO87" s="22"/>
      <c r="AP87" s="22"/>
      <c r="AQ87" s="22"/>
      <c r="AR87" s="22"/>
      <c r="AS87" s="55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0"/>
      <c r="BZ87" s="20"/>
      <c r="CI87" s="22"/>
      <c r="CJ87" s="23"/>
      <c r="CK87" s="23"/>
      <c r="CL87" s="11"/>
      <c r="CM87" s="11"/>
      <c r="CN87" s="11"/>
      <c r="CO87" s="11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</row>
    <row r="88" spans="1:121" hidden="1" outlineLevel="1">
      <c r="A88" s="22"/>
      <c r="B88" s="55"/>
      <c r="C88" s="22"/>
      <c r="D88" s="22"/>
      <c r="E88" s="22"/>
      <c r="F88" s="22"/>
      <c r="G88" s="22"/>
      <c r="H88" s="55"/>
      <c r="I88" s="55"/>
      <c r="J88" s="22"/>
      <c r="K88" s="22"/>
      <c r="L88" s="22"/>
      <c r="M88" s="22"/>
      <c r="N88" s="22"/>
      <c r="O88" s="22"/>
      <c r="P88" s="22"/>
      <c r="Q88" s="22"/>
      <c r="R88" s="56"/>
      <c r="S88" s="56"/>
      <c r="T88" s="22"/>
      <c r="U88" s="22"/>
      <c r="V88" s="22"/>
      <c r="W88" s="22"/>
      <c r="X88" s="89"/>
      <c r="Y88" s="89"/>
      <c r="Z88" s="22"/>
      <c r="AA88" s="22"/>
      <c r="AB88" s="22"/>
      <c r="AC88" s="57"/>
      <c r="AD88" s="56"/>
      <c r="AE88" s="22"/>
      <c r="AF88" s="22"/>
      <c r="AG88" s="22"/>
      <c r="AH88" s="22"/>
      <c r="AI88" s="89"/>
      <c r="AJ88" s="22"/>
      <c r="AK88" s="22"/>
      <c r="AL88" s="22"/>
      <c r="AM88" s="22"/>
      <c r="AN88" s="22"/>
      <c r="AO88" s="22"/>
      <c r="AP88" s="22"/>
      <c r="AQ88" s="22"/>
      <c r="AR88" s="22"/>
      <c r="AS88" s="55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0"/>
      <c r="BZ88" s="20"/>
      <c r="CI88" s="22"/>
      <c r="CJ88" s="23"/>
      <c r="CK88" s="23"/>
      <c r="CL88" s="11"/>
      <c r="CM88" s="11"/>
      <c r="CN88" s="11"/>
      <c r="CO88" s="11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</row>
    <row r="89" spans="1:121" hidden="1" outlineLevel="1">
      <c r="A89" s="22"/>
      <c r="B89" s="55"/>
      <c r="C89" s="22"/>
      <c r="D89" s="22"/>
      <c r="E89" s="22"/>
      <c r="F89" s="22"/>
      <c r="G89" s="22"/>
      <c r="H89" s="55"/>
      <c r="I89" s="55"/>
      <c r="J89" s="22"/>
      <c r="K89" s="22"/>
      <c r="L89" s="22"/>
      <c r="M89" s="22"/>
      <c r="N89" s="22"/>
      <c r="O89" s="22"/>
      <c r="P89" s="22"/>
      <c r="Q89" s="22"/>
      <c r="R89" s="56"/>
      <c r="S89" s="56"/>
      <c r="T89" s="22"/>
      <c r="U89" s="22"/>
      <c r="V89" s="22"/>
      <c r="W89" s="22"/>
      <c r="X89" s="89"/>
      <c r="Y89" s="89"/>
      <c r="Z89" s="22"/>
      <c r="AA89" s="22"/>
      <c r="AB89" s="22"/>
      <c r="AC89" s="57"/>
      <c r="AD89" s="56"/>
      <c r="AE89" s="22"/>
      <c r="AF89" s="22"/>
      <c r="AG89" s="22"/>
      <c r="AH89" s="22"/>
      <c r="AI89" s="89"/>
      <c r="AJ89" s="22"/>
      <c r="AK89" s="22"/>
      <c r="AL89" s="22"/>
      <c r="AM89" s="22"/>
      <c r="AN89" s="22"/>
      <c r="AO89" s="22"/>
      <c r="AP89" s="22"/>
      <c r="AQ89" s="22"/>
      <c r="AR89" s="22"/>
      <c r="AS89" s="55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0"/>
      <c r="BZ89" s="20"/>
      <c r="CI89" s="22"/>
      <c r="CJ89" s="23"/>
      <c r="CK89" s="23"/>
      <c r="CL89" s="11"/>
      <c r="CM89" s="11"/>
      <c r="CN89" s="11"/>
      <c r="CO89" s="11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</row>
    <row r="90" spans="1:121" hidden="1" outlineLevel="1">
      <c r="A90" s="22"/>
      <c r="B90" s="55"/>
      <c r="C90" s="22"/>
      <c r="D90" s="22"/>
      <c r="E90" s="22"/>
      <c r="F90" s="22"/>
      <c r="G90" s="22"/>
      <c r="H90" s="55"/>
      <c r="I90" s="55"/>
      <c r="J90" s="22"/>
      <c r="K90" s="22"/>
      <c r="L90" s="22"/>
      <c r="M90" s="22"/>
      <c r="N90" s="22"/>
      <c r="O90" s="22"/>
      <c r="P90" s="22"/>
      <c r="Q90" s="22"/>
      <c r="R90" s="56"/>
      <c r="S90" s="56"/>
      <c r="T90" s="22"/>
      <c r="U90" s="22"/>
      <c r="V90" s="22"/>
      <c r="W90" s="22"/>
      <c r="X90" s="89"/>
      <c r="Y90" s="89"/>
      <c r="Z90" s="22"/>
      <c r="AA90" s="22"/>
      <c r="AB90" s="22"/>
      <c r="AC90" s="57"/>
      <c r="AD90" s="56"/>
      <c r="AE90" s="22"/>
      <c r="AF90" s="22"/>
      <c r="AG90" s="22"/>
      <c r="AH90" s="22"/>
      <c r="AI90" s="89"/>
      <c r="AJ90" s="22"/>
      <c r="AK90" s="22"/>
      <c r="AL90" s="22"/>
      <c r="AM90" s="22"/>
      <c r="AN90" s="22"/>
      <c r="AO90" s="22"/>
      <c r="AP90" s="22"/>
      <c r="AQ90" s="22"/>
      <c r="AR90" s="22"/>
      <c r="AS90" s="55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0"/>
      <c r="BZ90" s="20"/>
      <c r="CI90" s="22"/>
      <c r="CJ90" s="23"/>
      <c r="CK90" s="23"/>
      <c r="CL90" s="11"/>
      <c r="CM90" s="11"/>
      <c r="CN90" s="11"/>
      <c r="CO90" s="11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</row>
    <row r="91" spans="1:121" hidden="1" outlineLevel="1">
      <c r="A91" s="22"/>
      <c r="B91" s="55"/>
      <c r="C91" s="22"/>
      <c r="D91" s="22"/>
      <c r="E91" s="22"/>
      <c r="F91" s="22"/>
      <c r="G91" s="22"/>
      <c r="H91" s="55"/>
      <c r="I91" s="55"/>
      <c r="J91" s="22"/>
      <c r="K91" s="22"/>
      <c r="L91" s="22"/>
      <c r="M91" s="22"/>
      <c r="N91" s="22"/>
      <c r="O91" s="22"/>
      <c r="P91" s="22"/>
      <c r="Q91" s="22"/>
      <c r="R91" s="56"/>
      <c r="S91" s="56"/>
      <c r="T91" s="22"/>
      <c r="U91" s="22"/>
      <c r="V91" s="22"/>
      <c r="W91" s="22"/>
      <c r="X91" s="89"/>
      <c r="Y91" s="89"/>
      <c r="Z91" s="22"/>
      <c r="AA91" s="22"/>
      <c r="AB91" s="22"/>
      <c r="AC91" s="57"/>
      <c r="AD91" s="56"/>
      <c r="AE91" s="22"/>
      <c r="AF91" s="22"/>
      <c r="AG91" s="22"/>
      <c r="AH91" s="22"/>
      <c r="AI91" s="89"/>
      <c r="AJ91" s="22"/>
      <c r="AK91" s="22"/>
      <c r="AL91" s="22"/>
      <c r="AM91" s="22"/>
      <c r="AN91" s="22"/>
      <c r="AO91" s="22"/>
      <c r="AP91" s="22"/>
      <c r="AQ91" s="22"/>
      <c r="AR91" s="22"/>
      <c r="AS91" s="55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0"/>
      <c r="BZ91" s="20"/>
      <c r="CI91" s="22"/>
      <c r="CJ91" s="23"/>
      <c r="CK91" s="23"/>
      <c r="CL91" s="11"/>
      <c r="CM91" s="11"/>
      <c r="CN91" s="11"/>
      <c r="CO91" s="11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</row>
    <row r="92" spans="1:121" hidden="1" outlineLevel="1">
      <c r="A92" s="22"/>
      <c r="B92" s="55"/>
      <c r="C92" s="22"/>
      <c r="D92" s="22"/>
      <c r="E92" s="22"/>
      <c r="F92" s="22"/>
      <c r="G92" s="22"/>
      <c r="H92" s="55"/>
      <c r="I92" s="55"/>
      <c r="J92" s="22"/>
      <c r="K92" s="22"/>
      <c r="L92" s="22"/>
      <c r="M92" s="22"/>
      <c r="N92" s="22"/>
      <c r="O92" s="22"/>
      <c r="P92" s="22"/>
      <c r="Q92" s="22"/>
      <c r="R92" s="56"/>
      <c r="S92" s="56"/>
      <c r="T92" s="22"/>
      <c r="U92" s="22"/>
      <c r="V92" s="22"/>
      <c r="W92" s="22"/>
      <c r="X92" s="89"/>
      <c r="Y92" s="89"/>
      <c r="Z92" s="22"/>
      <c r="AA92" s="22"/>
      <c r="AB92" s="22"/>
      <c r="AC92" s="57"/>
      <c r="AD92" s="56"/>
      <c r="AE92" s="22"/>
      <c r="AF92" s="22"/>
      <c r="AG92" s="22"/>
      <c r="AH92" s="22"/>
      <c r="AI92" s="89"/>
      <c r="AJ92" s="22"/>
      <c r="AK92" s="22"/>
      <c r="AL92" s="22"/>
      <c r="AM92" s="22"/>
      <c r="AN92" s="22"/>
      <c r="AO92" s="22"/>
      <c r="AP92" s="22"/>
      <c r="AQ92" s="22"/>
      <c r="AR92" s="22"/>
      <c r="AS92" s="55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0"/>
      <c r="BZ92" s="20"/>
      <c r="CI92" s="22"/>
      <c r="CJ92" s="23"/>
      <c r="CK92" s="23"/>
      <c r="CL92" s="11"/>
      <c r="CM92" s="11"/>
      <c r="CN92" s="11"/>
      <c r="CO92" s="11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</row>
    <row r="93" spans="1:121" hidden="1" outlineLevel="1">
      <c r="A93" s="22"/>
      <c r="B93" s="55"/>
      <c r="C93" s="22"/>
      <c r="D93" s="22"/>
      <c r="E93" s="22"/>
      <c r="F93" s="22"/>
      <c r="G93" s="22"/>
      <c r="H93" s="55"/>
      <c r="I93" s="55"/>
      <c r="J93" s="22"/>
      <c r="K93" s="22"/>
      <c r="L93" s="22"/>
      <c r="M93" s="22"/>
      <c r="N93" s="22"/>
      <c r="O93" s="22"/>
      <c r="P93" s="22"/>
      <c r="Q93" s="22"/>
      <c r="R93" s="56"/>
      <c r="S93" s="56"/>
      <c r="T93" s="22"/>
      <c r="U93" s="22"/>
      <c r="V93" s="22"/>
      <c r="W93" s="22"/>
      <c r="X93" s="89"/>
      <c r="Y93" s="89"/>
      <c r="Z93" s="22"/>
      <c r="AA93" s="22"/>
      <c r="AB93" s="22"/>
      <c r="AC93" s="57"/>
      <c r="AD93" s="56"/>
      <c r="AE93" s="22"/>
      <c r="AF93" s="22"/>
      <c r="AG93" s="22"/>
      <c r="AH93" s="22"/>
      <c r="AI93" s="89"/>
      <c r="AJ93" s="22"/>
      <c r="AK93" s="22"/>
      <c r="AL93" s="22"/>
      <c r="AM93" s="22"/>
      <c r="AN93" s="22"/>
      <c r="AO93" s="22"/>
      <c r="AP93" s="22"/>
      <c r="AQ93" s="22"/>
      <c r="AR93" s="22"/>
      <c r="AS93" s="55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0"/>
      <c r="BZ93" s="20"/>
      <c r="CI93" s="22"/>
      <c r="CJ93" s="23"/>
      <c r="CK93" s="23"/>
      <c r="CL93" s="11"/>
      <c r="CM93" s="11"/>
      <c r="CN93" s="11"/>
      <c r="CO93" s="11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</row>
    <row r="94" spans="1:121" hidden="1" outlineLevel="1">
      <c r="A94" s="22"/>
      <c r="B94" s="55"/>
      <c r="C94" s="22"/>
      <c r="D94" s="22"/>
      <c r="E94" s="22"/>
      <c r="F94" s="22"/>
      <c r="G94" s="22"/>
      <c r="H94" s="55"/>
      <c r="I94" s="55"/>
      <c r="J94" s="22"/>
      <c r="K94" s="22"/>
      <c r="L94" s="22"/>
      <c r="M94" s="22"/>
      <c r="N94" s="22"/>
      <c r="O94" s="22"/>
      <c r="P94" s="22"/>
      <c r="Q94" s="22"/>
      <c r="R94" s="56"/>
      <c r="S94" s="56"/>
      <c r="T94" s="22"/>
      <c r="U94" s="22"/>
      <c r="V94" s="22"/>
      <c r="W94" s="22"/>
      <c r="X94" s="89"/>
      <c r="Y94" s="89"/>
      <c r="Z94" s="22"/>
      <c r="AA94" s="22"/>
      <c r="AB94" s="22"/>
      <c r="AC94" s="57"/>
      <c r="AD94" s="56"/>
      <c r="AE94" s="22"/>
      <c r="AF94" s="22"/>
      <c r="AG94" s="22"/>
      <c r="AH94" s="22"/>
      <c r="AI94" s="89"/>
      <c r="AJ94" s="22"/>
      <c r="AK94" s="22"/>
      <c r="AL94" s="22"/>
      <c r="AM94" s="22"/>
      <c r="AN94" s="22"/>
      <c r="AO94" s="22"/>
      <c r="AP94" s="22"/>
      <c r="AQ94" s="22"/>
      <c r="AR94" s="22"/>
      <c r="AS94" s="55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0"/>
      <c r="BZ94" s="20"/>
      <c r="CI94" s="22"/>
      <c r="CJ94" s="23"/>
      <c r="CK94" s="23"/>
      <c r="CL94" s="11"/>
      <c r="CM94" s="11"/>
      <c r="CN94" s="11"/>
      <c r="CO94" s="11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</row>
    <row r="95" spans="1:121" hidden="1" outlineLevel="1">
      <c r="A95" s="22"/>
      <c r="B95" s="55"/>
      <c r="C95" s="22"/>
      <c r="D95" s="22"/>
      <c r="E95" s="22"/>
      <c r="F95" s="22"/>
      <c r="G95" s="22"/>
      <c r="H95" s="55"/>
      <c r="I95" s="55"/>
      <c r="J95" s="22"/>
      <c r="K95" s="22"/>
      <c r="L95" s="22"/>
      <c r="M95" s="22"/>
      <c r="N95" s="22"/>
      <c r="O95" s="22"/>
      <c r="P95" s="22"/>
      <c r="Q95" s="22"/>
      <c r="R95" s="56"/>
      <c r="S95" s="56"/>
      <c r="T95" s="22"/>
      <c r="U95" s="22"/>
      <c r="V95" s="22"/>
      <c r="W95" s="22"/>
      <c r="X95" s="89"/>
      <c r="Y95" s="89"/>
      <c r="Z95" s="22"/>
      <c r="AA95" s="22"/>
      <c r="AB95" s="22"/>
      <c r="AC95" s="57"/>
      <c r="AD95" s="56"/>
      <c r="AE95" s="22"/>
      <c r="AF95" s="22"/>
      <c r="AG95" s="22"/>
      <c r="AH95" s="22"/>
      <c r="AI95" s="89"/>
      <c r="AJ95" s="22"/>
      <c r="AK95" s="22"/>
      <c r="AL95" s="22"/>
      <c r="AM95" s="22"/>
      <c r="AN95" s="22"/>
      <c r="AO95" s="22"/>
      <c r="AP95" s="22"/>
      <c r="AQ95" s="22"/>
      <c r="AR95" s="22"/>
      <c r="AS95" s="55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0"/>
      <c r="BZ95" s="20"/>
      <c r="CI95" s="22"/>
      <c r="CJ95" s="23"/>
      <c r="CK95" s="23"/>
      <c r="CL95" s="11"/>
      <c r="CM95" s="11"/>
      <c r="CN95" s="11"/>
      <c r="CO95" s="11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</row>
    <row r="96" spans="1:121" hidden="1" outlineLevel="1">
      <c r="A96" s="22"/>
      <c r="B96" s="55"/>
      <c r="C96" s="22"/>
      <c r="D96" s="22"/>
      <c r="E96" s="22"/>
      <c r="F96" s="22"/>
      <c r="G96" s="22"/>
      <c r="H96" s="55"/>
      <c r="I96" s="55"/>
      <c r="J96" s="22"/>
      <c r="K96" s="22"/>
      <c r="L96" s="22"/>
      <c r="M96" s="22"/>
      <c r="N96" s="22"/>
      <c r="O96" s="22"/>
      <c r="P96" s="22"/>
      <c r="Q96" s="22"/>
      <c r="R96" s="56"/>
      <c r="S96" s="56"/>
      <c r="T96" s="22"/>
      <c r="U96" s="22"/>
      <c r="V96" s="22"/>
      <c r="W96" s="22"/>
      <c r="X96" s="89"/>
      <c r="Y96" s="89"/>
      <c r="Z96" s="22"/>
      <c r="AA96" s="22"/>
      <c r="AB96" s="22"/>
      <c r="AC96" s="57"/>
      <c r="AD96" s="56"/>
      <c r="AE96" s="22"/>
      <c r="AF96" s="22"/>
      <c r="AG96" s="22"/>
      <c r="AH96" s="22"/>
      <c r="AI96" s="89"/>
      <c r="AJ96" s="22"/>
      <c r="AK96" s="22"/>
      <c r="AL96" s="22"/>
      <c r="AM96" s="22"/>
      <c r="AN96" s="22"/>
      <c r="AO96" s="22"/>
      <c r="AP96" s="22"/>
      <c r="AQ96" s="22"/>
      <c r="AR96" s="22"/>
      <c r="AS96" s="55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0"/>
      <c r="BZ96" s="20"/>
      <c r="CI96" s="22"/>
      <c r="CJ96" s="23"/>
      <c r="CK96" s="23"/>
      <c r="CL96" s="11"/>
      <c r="CM96" s="11"/>
      <c r="CN96" s="11"/>
      <c r="CO96" s="11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</row>
    <row r="97" spans="1:121" hidden="1" outlineLevel="1">
      <c r="A97" s="22"/>
      <c r="B97" s="55"/>
      <c r="C97" s="22"/>
      <c r="D97" s="22"/>
      <c r="E97" s="22"/>
      <c r="F97" s="22"/>
      <c r="G97" s="22"/>
      <c r="H97" s="55"/>
      <c r="I97" s="55"/>
      <c r="J97" s="22"/>
      <c r="K97" s="22"/>
      <c r="L97" s="22"/>
      <c r="M97" s="22"/>
      <c r="N97" s="22"/>
      <c r="O97" s="22"/>
      <c r="P97" s="22"/>
      <c r="Q97" s="22"/>
      <c r="R97" s="56"/>
      <c r="S97" s="56"/>
      <c r="T97" s="22"/>
      <c r="U97" s="22"/>
      <c r="V97" s="22"/>
      <c r="W97" s="22"/>
      <c r="X97" s="89"/>
      <c r="Y97" s="89"/>
      <c r="Z97" s="22"/>
      <c r="AA97" s="22"/>
      <c r="AB97" s="22"/>
      <c r="AC97" s="57"/>
      <c r="AD97" s="56"/>
      <c r="AE97" s="22"/>
      <c r="AF97" s="22"/>
      <c r="AG97" s="22"/>
      <c r="AH97" s="22"/>
      <c r="AI97" s="89"/>
      <c r="AJ97" s="22"/>
      <c r="AK97" s="22"/>
      <c r="AL97" s="22"/>
      <c r="AM97" s="22"/>
      <c r="AN97" s="22"/>
      <c r="AO97" s="22"/>
      <c r="AP97" s="22"/>
      <c r="AQ97" s="22"/>
      <c r="AR97" s="22"/>
      <c r="AS97" s="55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0"/>
      <c r="BZ97" s="20"/>
      <c r="CI97" s="22"/>
      <c r="CJ97" s="23"/>
      <c r="CK97" s="23"/>
      <c r="CL97" s="11"/>
      <c r="CM97" s="11"/>
      <c r="CN97" s="11"/>
      <c r="CO97" s="11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</row>
    <row r="98" spans="1:121" hidden="1" outlineLevel="1">
      <c r="A98" s="22"/>
      <c r="B98" s="55"/>
      <c r="C98" s="22"/>
      <c r="D98" s="22"/>
      <c r="E98" s="22"/>
      <c r="F98" s="22"/>
      <c r="G98" s="22"/>
      <c r="H98" s="55"/>
      <c r="I98" s="55"/>
      <c r="J98" s="22"/>
      <c r="K98" s="22"/>
      <c r="L98" s="22"/>
      <c r="M98" s="22"/>
      <c r="N98" s="22"/>
      <c r="O98" s="22"/>
      <c r="P98" s="22"/>
      <c r="Q98" s="22"/>
      <c r="R98" s="56"/>
      <c r="S98" s="56"/>
      <c r="T98" s="22"/>
      <c r="U98" s="22"/>
      <c r="V98" s="22"/>
      <c r="W98" s="22"/>
      <c r="X98" s="89"/>
      <c r="Y98" s="89"/>
      <c r="Z98" s="22"/>
      <c r="AA98" s="22"/>
      <c r="AB98" s="22"/>
      <c r="AC98" s="57"/>
      <c r="AD98" s="56"/>
      <c r="AE98" s="22"/>
      <c r="AF98" s="22"/>
      <c r="AG98" s="22"/>
      <c r="AH98" s="22"/>
      <c r="AI98" s="89"/>
      <c r="AJ98" s="22"/>
      <c r="AK98" s="22"/>
      <c r="AL98" s="22"/>
      <c r="AM98" s="22"/>
      <c r="AN98" s="22"/>
      <c r="AO98" s="22"/>
      <c r="AP98" s="22"/>
      <c r="AQ98" s="22"/>
      <c r="AR98" s="22"/>
      <c r="AS98" s="55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0"/>
      <c r="BZ98" s="20"/>
      <c r="CI98" s="22"/>
      <c r="CJ98" s="23"/>
      <c r="CK98" s="23"/>
      <c r="CL98" s="11"/>
      <c r="CM98" s="11"/>
      <c r="CN98" s="11"/>
      <c r="CO98" s="11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</row>
    <row r="99" spans="1:121" hidden="1" outlineLevel="1">
      <c r="A99" s="22"/>
      <c r="B99" s="55"/>
      <c r="C99" s="22"/>
      <c r="D99" s="22"/>
      <c r="E99" s="22"/>
      <c r="F99" s="22"/>
      <c r="G99" s="22"/>
      <c r="H99" s="55"/>
      <c r="I99" s="55"/>
      <c r="J99" s="22"/>
      <c r="K99" s="22"/>
      <c r="L99" s="22"/>
      <c r="M99" s="22"/>
      <c r="N99" s="22"/>
      <c r="O99" s="22"/>
      <c r="P99" s="22"/>
      <c r="Q99" s="22"/>
      <c r="R99" s="56"/>
      <c r="S99" s="56"/>
      <c r="T99" s="22"/>
      <c r="U99" s="22"/>
      <c r="V99" s="22"/>
      <c r="W99" s="22"/>
      <c r="X99" s="89"/>
      <c r="Y99" s="89"/>
      <c r="Z99" s="22"/>
      <c r="AA99" s="22"/>
      <c r="AB99" s="22"/>
      <c r="AC99" s="57"/>
      <c r="AD99" s="56"/>
      <c r="AE99" s="22"/>
      <c r="AF99" s="22"/>
      <c r="AG99" s="22"/>
      <c r="AH99" s="22"/>
      <c r="AI99" s="89"/>
      <c r="AJ99" s="22"/>
      <c r="AK99" s="22"/>
      <c r="AL99" s="22"/>
      <c r="AM99" s="22"/>
      <c r="AN99" s="22"/>
      <c r="AO99" s="22"/>
      <c r="AP99" s="22"/>
      <c r="AQ99" s="22"/>
      <c r="AR99" s="22"/>
      <c r="AS99" s="55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0"/>
      <c r="BZ99" s="20"/>
      <c r="CI99" s="22"/>
      <c r="CJ99" s="23"/>
      <c r="CK99" s="23"/>
      <c r="CL99" s="11"/>
      <c r="CM99" s="11"/>
      <c r="CN99" s="11"/>
      <c r="CO99" s="11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</row>
    <row r="100" spans="1:121" hidden="1" outlineLevel="1">
      <c r="A100" s="22"/>
      <c r="B100" s="55"/>
      <c r="C100" s="22"/>
      <c r="D100" s="22"/>
      <c r="E100" s="22"/>
      <c r="F100" s="22"/>
      <c r="G100" s="22"/>
      <c r="H100" s="55"/>
      <c r="I100" s="55"/>
      <c r="J100" s="22"/>
      <c r="K100" s="22"/>
      <c r="L100" s="22"/>
      <c r="M100" s="22"/>
      <c r="N100" s="22"/>
      <c r="O100" s="22"/>
      <c r="P100" s="22"/>
      <c r="Q100" s="22"/>
      <c r="R100" s="56"/>
      <c r="S100" s="56"/>
      <c r="T100" s="22"/>
      <c r="U100" s="22"/>
      <c r="V100" s="22"/>
      <c r="W100" s="22"/>
      <c r="X100" s="89"/>
      <c r="Y100" s="89"/>
      <c r="Z100" s="22"/>
      <c r="AA100" s="22"/>
      <c r="AB100" s="22"/>
      <c r="AC100" s="57"/>
      <c r="AD100" s="56"/>
      <c r="AE100" s="22"/>
      <c r="AF100" s="22"/>
      <c r="AG100" s="22"/>
      <c r="AH100" s="22"/>
      <c r="AI100" s="89"/>
      <c r="AJ100" s="22"/>
      <c r="AK100" s="22"/>
      <c r="AL100" s="22"/>
      <c r="AM100" s="22"/>
      <c r="AN100" s="22"/>
      <c r="AO100" s="22"/>
      <c r="AP100" s="22"/>
      <c r="AQ100" s="22"/>
      <c r="AR100" s="22"/>
      <c r="AS100" s="55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0"/>
      <c r="BZ100" s="20"/>
      <c r="CI100" s="22"/>
      <c r="CJ100" s="23"/>
      <c r="CK100" s="23"/>
      <c r="CL100" s="11"/>
      <c r="CM100" s="11"/>
      <c r="CN100" s="11"/>
      <c r="CO100" s="11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</row>
    <row r="101" spans="1:121" hidden="1" outlineLevel="1">
      <c r="A101" s="22"/>
      <c r="B101" s="55"/>
      <c r="C101" s="22"/>
      <c r="D101" s="22"/>
      <c r="E101" s="22"/>
      <c r="F101" s="22"/>
      <c r="G101" s="22"/>
      <c r="H101" s="55"/>
      <c r="I101" s="55"/>
      <c r="J101" s="22"/>
      <c r="K101" s="22"/>
      <c r="L101" s="22"/>
      <c r="M101" s="22"/>
      <c r="N101" s="22"/>
      <c r="O101" s="22"/>
      <c r="P101" s="22"/>
      <c r="Q101" s="22"/>
      <c r="R101" s="56"/>
      <c r="S101" s="56"/>
      <c r="T101" s="22"/>
      <c r="U101" s="22"/>
      <c r="V101" s="22"/>
      <c r="W101" s="22"/>
      <c r="X101" s="89"/>
      <c r="Y101" s="89"/>
      <c r="Z101" s="22"/>
      <c r="AA101" s="22"/>
      <c r="AB101" s="22"/>
      <c r="AC101" s="57"/>
      <c r="AD101" s="56"/>
      <c r="AE101" s="22"/>
      <c r="AF101" s="22"/>
      <c r="AG101" s="22"/>
      <c r="AH101" s="22"/>
      <c r="AI101" s="89"/>
      <c r="AJ101" s="22"/>
      <c r="AK101" s="22"/>
      <c r="AL101" s="22"/>
      <c r="AM101" s="22"/>
      <c r="AN101" s="22"/>
      <c r="AO101" s="22"/>
      <c r="AP101" s="22"/>
      <c r="AQ101" s="22"/>
      <c r="AR101" s="22"/>
      <c r="AS101" s="55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0"/>
      <c r="BZ101" s="20"/>
      <c r="CI101" s="22"/>
      <c r="CJ101" s="23"/>
      <c r="CK101" s="23"/>
      <c r="CL101" s="11"/>
      <c r="CM101" s="11"/>
      <c r="CN101" s="11"/>
      <c r="CO101" s="11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</row>
    <row r="102" spans="1:121" hidden="1" outlineLevel="1">
      <c r="A102" s="22"/>
      <c r="B102" s="55"/>
      <c r="C102" s="22"/>
      <c r="D102" s="22"/>
      <c r="E102" s="22"/>
      <c r="F102" s="22"/>
      <c r="G102" s="22"/>
      <c r="H102" s="55"/>
      <c r="I102" s="55"/>
      <c r="J102" s="22"/>
      <c r="K102" s="22"/>
      <c r="L102" s="22"/>
      <c r="M102" s="22"/>
      <c r="N102" s="22"/>
      <c r="O102" s="22"/>
      <c r="P102" s="22"/>
      <c r="Q102" s="22"/>
      <c r="R102" s="56"/>
      <c r="S102" s="56"/>
      <c r="T102" s="22"/>
      <c r="U102" s="22"/>
      <c r="V102" s="22"/>
      <c r="W102" s="22"/>
      <c r="X102" s="89"/>
      <c r="Y102" s="89"/>
      <c r="Z102" s="22"/>
      <c r="AA102" s="22"/>
      <c r="AB102" s="22"/>
      <c r="AC102" s="57"/>
      <c r="AD102" s="56"/>
      <c r="AE102" s="22"/>
      <c r="AF102" s="22"/>
      <c r="AG102" s="22"/>
      <c r="AH102" s="22"/>
      <c r="AI102" s="89"/>
      <c r="AJ102" s="22"/>
      <c r="AK102" s="22"/>
      <c r="AL102" s="22"/>
      <c r="AM102" s="22"/>
      <c r="AN102" s="22"/>
      <c r="AO102" s="22"/>
      <c r="AP102" s="22"/>
      <c r="AQ102" s="22"/>
      <c r="AR102" s="22"/>
      <c r="AS102" s="55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0"/>
      <c r="BZ102" s="20"/>
      <c r="CI102" s="22"/>
      <c r="CJ102" s="23"/>
      <c r="CK102" s="23"/>
      <c r="CL102" s="11"/>
      <c r="CM102" s="11"/>
      <c r="CN102" s="11"/>
      <c r="CO102" s="11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</row>
    <row r="103" spans="1:121" hidden="1" outlineLevel="1">
      <c r="A103" s="22"/>
      <c r="B103" s="55"/>
      <c r="C103" s="22"/>
      <c r="D103" s="22"/>
      <c r="E103" s="22"/>
      <c r="F103" s="22"/>
      <c r="G103" s="22"/>
      <c r="H103" s="55"/>
      <c r="I103" s="55"/>
      <c r="J103" s="22"/>
      <c r="K103" s="22"/>
      <c r="L103" s="22"/>
      <c r="M103" s="22"/>
      <c r="N103" s="22"/>
      <c r="O103" s="22"/>
      <c r="P103" s="22"/>
      <c r="Q103" s="22"/>
      <c r="R103" s="56"/>
      <c r="S103" s="56"/>
      <c r="T103" s="22"/>
      <c r="U103" s="22"/>
      <c r="V103" s="22"/>
      <c r="W103" s="22"/>
      <c r="X103" s="89"/>
      <c r="Y103" s="89"/>
      <c r="Z103" s="22"/>
      <c r="AA103" s="22"/>
      <c r="AB103" s="22"/>
      <c r="AC103" s="57"/>
      <c r="AD103" s="56"/>
      <c r="AE103" s="22"/>
      <c r="AF103" s="22"/>
      <c r="AG103" s="22"/>
      <c r="AH103" s="22"/>
      <c r="AI103" s="89"/>
      <c r="AJ103" s="22"/>
      <c r="AK103" s="22"/>
      <c r="AL103" s="22"/>
      <c r="AM103" s="22"/>
      <c r="AN103" s="22"/>
      <c r="AO103" s="22"/>
      <c r="AP103" s="22"/>
      <c r="AQ103" s="22"/>
      <c r="AR103" s="22"/>
      <c r="AS103" s="55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0"/>
      <c r="BZ103" s="20"/>
      <c r="CI103" s="22"/>
      <c r="CJ103" s="23"/>
      <c r="CK103" s="23"/>
      <c r="CL103" s="11"/>
      <c r="CM103" s="11"/>
      <c r="CN103" s="11"/>
      <c r="CO103" s="11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</row>
    <row r="104" spans="1:121" hidden="1" outlineLevel="1">
      <c r="A104" s="22"/>
      <c r="B104" s="55"/>
      <c r="C104" s="22"/>
      <c r="D104" s="22"/>
      <c r="E104" s="22"/>
      <c r="F104" s="22"/>
      <c r="G104" s="22"/>
      <c r="H104" s="55"/>
      <c r="I104" s="55"/>
      <c r="J104" s="22"/>
      <c r="K104" s="22"/>
      <c r="L104" s="22"/>
      <c r="M104" s="22"/>
      <c r="N104" s="22"/>
      <c r="O104" s="22"/>
      <c r="P104" s="22"/>
      <c r="Q104" s="22"/>
      <c r="R104" s="56"/>
      <c r="S104" s="56"/>
      <c r="T104" s="22"/>
      <c r="U104" s="22"/>
      <c r="V104" s="22"/>
      <c r="W104" s="22"/>
      <c r="X104" s="89"/>
      <c r="Y104" s="89"/>
      <c r="Z104" s="22"/>
      <c r="AA104" s="22"/>
      <c r="AB104" s="22"/>
      <c r="AC104" s="57"/>
      <c r="AD104" s="56"/>
      <c r="AE104" s="22"/>
      <c r="AF104" s="22"/>
      <c r="AG104" s="22"/>
      <c r="AH104" s="22"/>
      <c r="AI104" s="89"/>
      <c r="AJ104" s="22"/>
      <c r="AK104" s="22"/>
      <c r="AL104" s="22"/>
      <c r="AM104" s="22"/>
      <c r="AN104" s="22"/>
      <c r="AO104" s="22"/>
      <c r="AP104" s="22"/>
      <c r="AQ104" s="22"/>
      <c r="AR104" s="22"/>
      <c r="AS104" s="55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0"/>
      <c r="BZ104" s="20"/>
      <c r="CI104" s="22"/>
      <c r="CJ104" s="23"/>
      <c r="CK104" s="23"/>
      <c r="CL104" s="11"/>
      <c r="CM104" s="11"/>
      <c r="CN104" s="11"/>
      <c r="CO104" s="11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</row>
    <row r="105" spans="1:121" hidden="1" outlineLevel="1">
      <c r="A105" s="22"/>
      <c r="B105" s="55"/>
      <c r="C105" s="22"/>
      <c r="D105" s="22"/>
      <c r="E105" s="22"/>
      <c r="F105" s="22"/>
      <c r="G105" s="22"/>
      <c r="H105" s="55"/>
      <c r="I105" s="55"/>
      <c r="J105" s="22"/>
      <c r="K105" s="22"/>
      <c r="L105" s="22"/>
      <c r="M105" s="22"/>
      <c r="N105" s="22"/>
      <c r="O105" s="22"/>
      <c r="P105" s="22"/>
      <c r="Q105" s="22"/>
      <c r="R105" s="56"/>
      <c r="S105" s="56"/>
      <c r="T105" s="22"/>
      <c r="U105" s="22"/>
      <c r="V105" s="22"/>
      <c r="W105" s="22"/>
      <c r="X105" s="89"/>
      <c r="Y105" s="89"/>
      <c r="Z105" s="22"/>
      <c r="AA105" s="22"/>
      <c r="AB105" s="22"/>
      <c r="AC105" s="57"/>
      <c r="AD105" s="56"/>
      <c r="AE105" s="22"/>
      <c r="AF105" s="22"/>
      <c r="AG105" s="22"/>
      <c r="AH105" s="22"/>
      <c r="AI105" s="89"/>
      <c r="AJ105" s="22"/>
      <c r="AK105" s="22"/>
      <c r="AL105" s="22"/>
      <c r="AM105" s="22"/>
      <c r="AN105" s="22"/>
      <c r="AO105" s="22"/>
      <c r="AP105" s="22"/>
      <c r="AQ105" s="22"/>
      <c r="AR105" s="22"/>
      <c r="AS105" s="55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0"/>
      <c r="BZ105" s="20"/>
      <c r="CI105" s="22"/>
      <c r="CJ105" s="23"/>
      <c r="CK105" s="23"/>
      <c r="CL105" s="11"/>
      <c r="CM105" s="11"/>
      <c r="CN105" s="11"/>
      <c r="CO105" s="11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</row>
    <row r="106" spans="1:121" hidden="1" outlineLevel="1">
      <c r="A106" s="22"/>
      <c r="B106" s="55"/>
      <c r="C106" s="22"/>
      <c r="D106" s="22"/>
      <c r="E106" s="22"/>
      <c r="F106" s="22"/>
      <c r="G106" s="22"/>
      <c r="H106" s="55"/>
      <c r="I106" s="55"/>
      <c r="J106" s="22"/>
      <c r="K106" s="22"/>
      <c r="L106" s="22"/>
      <c r="M106" s="22"/>
      <c r="N106" s="22"/>
      <c r="O106" s="22"/>
      <c r="P106" s="22"/>
      <c r="Q106" s="22"/>
      <c r="R106" s="56"/>
      <c r="S106" s="56"/>
      <c r="T106" s="22"/>
      <c r="U106" s="22"/>
      <c r="V106" s="22"/>
      <c r="W106" s="22"/>
      <c r="X106" s="89"/>
      <c r="Y106" s="89"/>
      <c r="Z106" s="22"/>
      <c r="AA106" s="22"/>
      <c r="AB106" s="22"/>
      <c r="AC106" s="57"/>
      <c r="AD106" s="56"/>
      <c r="AE106" s="22"/>
      <c r="AF106" s="22"/>
      <c r="AG106" s="22"/>
      <c r="AH106" s="22"/>
      <c r="AI106" s="89"/>
      <c r="AJ106" s="22"/>
      <c r="AK106" s="22"/>
      <c r="AL106" s="22"/>
      <c r="AM106" s="22"/>
      <c r="AN106" s="22"/>
      <c r="AO106" s="22"/>
      <c r="AP106" s="22"/>
      <c r="AQ106" s="22"/>
      <c r="AR106" s="22"/>
      <c r="AS106" s="55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0"/>
      <c r="BZ106" s="20"/>
      <c r="CI106" s="22"/>
      <c r="CJ106" s="23"/>
      <c r="CK106" s="23"/>
      <c r="CL106" s="11"/>
      <c r="CM106" s="11"/>
      <c r="CN106" s="11"/>
      <c r="CO106" s="11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</row>
    <row r="107" spans="1:121" hidden="1" outlineLevel="1">
      <c r="A107" s="22"/>
      <c r="B107" s="55"/>
      <c r="C107" s="22"/>
      <c r="D107" s="22"/>
      <c r="E107" s="22"/>
      <c r="F107" s="22"/>
      <c r="G107" s="22"/>
      <c r="H107" s="55"/>
      <c r="I107" s="55"/>
      <c r="J107" s="22"/>
      <c r="K107" s="22"/>
      <c r="L107" s="22"/>
      <c r="M107" s="22"/>
      <c r="N107" s="22"/>
      <c r="O107" s="22"/>
      <c r="P107" s="22"/>
      <c r="Q107" s="22"/>
      <c r="R107" s="56"/>
      <c r="S107" s="56"/>
      <c r="T107" s="22"/>
      <c r="U107" s="22"/>
      <c r="V107" s="22"/>
      <c r="W107" s="22"/>
      <c r="X107" s="89"/>
      <c r="Y107" s="89"/>
      <c r="Z107" s="22"/>
      <c r="AA107" s="22"/>
      <c r="AB107" s="22"/>
      <c r="AC107" s="57"/>
      <c r="AD107" s="56"/>
      <c r="AE107" s="22"/>
      <c r="AF107" s="22"/>
      <c r="AG107" s="22"/>
      <c r="AH107" s="22"/>
      <c r="AI107" s="89"/>
      <c r="AJ107" s="22"/>
      <c r="AK107" s="22"/>
      <c r="AL107" s="22"/>
      <c r="AM107" s="22"/>
      <c r="AN107" s="22"/>
      <c r="AO107" s="22"/>
      <c r="AP107" s="22"/>
      <c r="AQ107" s="22"/>
      <c r="AR107" s="22"/>
      <c r="AS107" s="55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0"/>
      <c r="BZ107" s="20"/>
      <c r="CI107" s="22"/>
      <c r="CJ107" s="23"/>
      <c r="CK107" s="23"/>
      <c r="CL107" s="11"/>
      <c r="CM107" s="11"/>
      <c r="CN107" s="11"/>
      <c r="CO107" s="11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</row>
    <row r="108" spans="1:121" hidden="1" outlineLevel="1">
      <c r="A108" s="58"/>
      <c r="B108" s="27"/>
      <c r="C108" s="22"/>
      <c r="D108" s="22"/>
      <c r="E108" s="3"/>
      <c r="F108" s="3"/>
      <c r="G108" s="22"/>
      <c r="H108" s="27"/>
      <c r="I108" s="27"/>
      <c r="J108" s="29"/>
      <c r="K108" s="29"/>
      <c r="L108" s="29"/>
      <c r="M108" s="29"/>
      <c r="N108" s="29"/>
      <c r="O108" s="29"/>
      <c r="P108" s="29"/>
      <c r="Q108" s="29"/>
      <c r="R108" s="32"/>
      <c r="S108" s="32"/>
      <c r="T108" s="29"/>
      <c r="U108" s="40"/>
      <c r="V108" s="40"/>
      <c r="W108" s="10"/>
      <c r="X108" s="80"/>
      <c r="Y108" s="80"/>
      <c r="Z108" s="31"/>
      <c r="AA108" s="31"/>
      <c r="AB108" s="31"/>
      <c r="AC108" s="31"/>
      <c r="AD108" s="32"/>
      <c r="AE108" s="33"/>
      <c r="AF108" s="33"/>
      <c r="AG108" s="33"/>
      <c r="AH108" s="33"/>
      <c r="AI108" s="87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54"/>
      <c r="BZ108" s="54"/>
      <c r="CI108" s="22"/>
      <c r="CJ108" s="23"/>
      <c r="CK108" s="23"/>
      <c r="CL108" s="11"/>
      <c r="CM108" s="11"/>
      <c r="CN108" s="11"/>
      <c r="CO108" s="11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</row>
    <row r="109" spans="1:121" hidden="1" outlineLevel="1">
      <c r="A109" s="58"/>
      <c r="B109" s="27"/>
      <c r="C109" s="22"/>
      <c r="D109" s="22"/>
      <c r="E109" s="3"/>
      <c r="F109" s="3"/>
      <c r="G109" s="22"/>
      <c r="H109" s="27"/>
      <c r="I109" s="27"/>
      <c r="J109" s="29"/>
      <c r="K109" s="29"/>
      <c r="L109" s="29"/>
      <c r="M109" s="29"/>
      <c r="N109" s="29"/>
      <c r="O109" s="29"/>
      <c r="P109" s="29"/>
      <c r="Q109" s="29"/>
      <c r="R109" s="32"/>
      <c r="S109" s="32"/>
      <c r="T109" s="29"/>
      <c r="U109" s="40"/>
      <c r="V109" s="40"/>
      <c r="W109" s="10"/>
      <c r="X109" s="80"/>
      <c r="Y109" s="80"/>
      <c r="Z109" s="31"/>
      <c r="AA109" s="31"/>
      <c r="AB109" s="31"/>
      <c r="AC109" s="31"/>
      <c r="AD109" s="32"/>
      <c r="AE109" s="33"/>
      <c r="AF109" s="33"/>
      <c r="AG109" s="33"/>
      <c r="AH109" s="33"/>
      <c r="AI109" s="87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54"/>
      <c r="BZ109" s="54"/>
      <c r="CI109" s="22"/>
      <c r="CJ109" s="23"/>
      <c r="CK109" s="23"/>
      <c r="CL109" s="11"/>
      <c r="CM109" s="11"/>
      <c r="CN109" s="11"/>
      <c r="CO109" s="11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</row>
    <row r="110" spans="1:121" hidden="1" outlineLevel="1">
      <c r="A110" s="58"/>
      <c r="B110" s="27"/>
      <c r="C110" s="22"/>
      <c r="D110" s="22"/>
      <c r="E110" s="3"/>
      <c r="F110" s="3"/>
      <c r="G110" s="22"/>
      <c r="H110" s="27"/>
      <c r="I110" s="27"/>
      <c r="J110" s="29"/>
      <c r="K110" s="29"/>
      <c r="L110" s="29"/>
      <c r="M110" s="29"/>
      <c r="N110" s="29"/>
      <c r="O110" s="29"/>
      <c r="P110" s="29"/>
      <c r="Q110" s="29"/>
      <c r="R110" s="32"/>
      <c r="S110" s="32"/>
      <c r="T110" s="29"/>
      <c r="U110" s="40"/>
      <c r="V110" s="40"/>
      <c r="W110" s="10"/>
      <c r="X110" s="80"/>
      <c r="Y110" s="80"/>
      <c r="Z110" s="31"/>
      <c r="AA110" s="31"/>
      <c r="AB110" s="31"/>
      <c r="AC110" s="31"/>
      <c r="AD110" s="32"/>
      <c r="AE110" s="33"/>
      <c r="AF110" s="33"/>
      <c r="AG110" s="33"/>
      <c r="AH110" s="33"/>
      <c r="AI110" s="87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54"/>
      <c r="BZ110" s="54"/>
      <c r="CI110" s="22"/>
      <c r="CJ110" s="23"/>
      <c r="CK110" s="23"/>
      <c r="CL110" s="11"/>
      <c r="CM110" s="11"/>
      <c r="CN110" s="11"/>
      <c r="CO110" s="11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</row>
    <row r="111" spans="1:121" hidden="1" outlineLevel="1">
      <c r="A111" s="58"/>
      <c r="B111" s="27"/>
      <c r="C111" s="22"/>
      <c r="D111" s="22"/>
      <c r="E111" s="3"/>
      <c r="F111" s="3"/>
      <c r="G111" s="22"/>
      <c r="H111" s="27"/>
      <c r="I111" s="27"/>
      <c r="J111" s="29"/>
      <c r="K111" s="29"/>
      <c r="L111" s="29"/>
      <c r="M111" s="29"/>
      <c r="N111" s="29"/>
      <c r="O111" s="29"/>
      <c r="P111" s="29"/>
      <c r="Q111" s="29"/>
      <c r="R111" s="32"/>
      <c r="S111" s="32"/>
      <c r="T111" s="29"/>
      <c r="U111" s="40"/>
      <c r="V111" s="40"/>
      <c r="W111" s="10"/>
      <c r="X111" s="80"/>
      <c r="Y111" s="80"/>
      <c r="Z111" s="31"/>
      <c r="AA111" s="31"/>
      <c r="AB111" s="31"/>
      <c r="AC111" s="31"/>
      <c r="AD111" s="32"/>
      <c r="AE111" s="33"/>
      <c r="AF111" s="33"/>
      <c r="AG111" s="33"/>
      <c r="AH111" s="33"/>
      <c r="AI111" s="87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54"/>
      <c r="BZ111" s="54"/>
      <c r="CI111" s="22"/>
      <c r="CJ111" s="23"/>
      <c r="CK111" s="23"/>
      <c r="CL111" s="11"/>
      <c r="CM111" s="11"/>
      <c r="CN111" s="11"/>
      <c r="CO111" s="11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</row>
    <row r="112" spans="1:121" hidden="1" outlineLevel="1">
      <c r="A112" s="58"/>
      <c r="B112" s="27"/>
      <c r="C112" s="22"/>
      <c r="D112" s="22"/>
      <c r="E112" s="3"/>
      <c r="F112" s="3"/>
      <c r="G112" s="22"/>
      <c r="H112" s="27"/>
      <c r="I112" s="27"/>
      <c r="J112" s="29"/>
      <c r="K112" s="29"/>
      <c r="L112" s="29"/>
      <c r="M112" s="29"/>
      <c r="N112" s="29"/>
      <c r="O112" s="29"/>
      <c r="P112" s="29"/>
      <c r="Q112" s="29"/>
      <c r="R112" s="32"/>
      <c r="S112" s="32"/>
      <c r="T112" s="29"/>
      <c r="U112" s="40"/>
      <c r="V112" s="40"/>
      <c r="W112" s="10"/>
      <c r="X112" s="80"/>
      <c r="Y112" s="80"/>
      <c r="Z112" s="31"/>
      <c r="AA112" s="31"/>
      <c r="AB112" s="31"/>
      <c r="AC112" s="31"/>
      <c r="AD112" s="32"/>
      <c r="AE112" s="33"/>
      <c r="AF112" s="33"/>
      <c r="AG112" s="33"/>
      <c r="AH112" s="33"/>
      <c r="AI112" s="87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54"/>
      <c r="BZ112" s="54"/>
      <c r="CI112" s="22"/>
      <c r="CJ112" s="23"/>
      <c r="CK112" s="23"/>
      <c r="CL112" s="11"/>
      <c r="CM112" s="11"/>
      <c r="CN112" s="11"/>
      <c r="CO112" s="11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</row>
    <row r="113" spans="1:121" hidden="1" outlineLevel="1">
      <c r="A113" s="22"/>
      <c r="B113" s="27"/>
      <c r="C113" s="22"/>
      <c r="D113" s="22"/>
      <c r="E113" s="3"/>
      <c r="F113" s="3"/>
      <c r="G113" s="22"/>
      <c r="H113" s="27"/>
      <c r="I113" s="27"/>
      <c r="J113" s="29"/>
      <c r="K113" s="29"/>
      <c r="L113" s="29"/>
      <c r="M113" s="29"/>
      <c r="N113" s="29"/>
      <c r="O113" s="29"/>
      <c r="P113" s="29"/>
      <c r="Q113" s="29"/>
      <c r="R113" s="32"/>
      <c r="S113" s="32"/>
      <c r="T113" s="29"/>
      <c r="U113" s="40"/>
      <c r="V113" s="40"/>
      <c r="W113" s="10"/>
      <c r="X113" s="80"/>
      <c r="Y113" s="80"/>
      <c r="Z113" s="31"/>
      <c r="AA113" s="31"/>
      <c r="AB113" s="31"/>
      <c r="AC113" s="31"/>
      <c r="AD113" s="32"/>
      <c r="AE113" s="33"/>
      <c r="AF113" s="33"/>
      <c r="AG113" s="33"/>
      <c r="AH113" s="33"/>
      <c r="AI113" s="87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54"/>
      <c r="BZ113" s="54"/>
      <c r="CI113" s="22"/>
      <c r="CJ113" s="23"/>
      <c r="CK113" s="23"/>
      <c r="CL113" s="11"/>
      <c r="CM113" s="11"/>
      <c r="CN113" s="11"/>
      <c r="CO113" s="11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</row>
    <row r="114" spans="1:121" hidden="1" outlineLevel="1">
      <c r="A114" s="22"/>
      <c r="B114" s="27"/>
      <c r="C114" s="22"/>
      <c r="D114" s="22"/>
      <c r="E114" s="3"/>
      <c r="F114" s="3"/>
      <c r="G114" s="22"/>
      <c r="H114" s="27"/>
      <c r="I114" s="27"/>
      <c r="J114" s="29"/>
      <c r="K114" s="29"/>
      <c r="L114" s="29"/>
      <c r="M114" s="29"/>
      <c r="N114" s="29"/>
      <c r="O114" s="29"/>
      <c r="P114" s="29"/>
      <c r="Q114" s="29"/>
      <c r="R114" s="32"/>
      <c r="S114" s="32"/>
      <c r="T114" s="29"/>
      <c r="U114" s="40"/>
      <c r="V114" s="40"/>
      <c r="W114" s="10"/>
      <c r="X114" s="80"/>
      <c r="Y114" s="80"/>
      <c r="Z114" s="31"/>
      <c r="AA114" s="31"/>
      <c r="AB114" s="31"/>
      <c r="AC114" s="31"/>
      <c r="AD114" s="32"/>
      <c r="AE114" s="33"/>
      <c r="AF114" s="33"/>
      <c r="AG114" s="33"/>
      <c r="AH114" s="33"/>
      <c r="AI114" s="87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54"/>
      <c r="BZ114" s="54"/>
      <c r="CI114" s="22"/>
      <c r="CJ114" s="23"/>
      <c r="CK114" s="23"/>
      <c r="CL114" s="11"/>
      <c r="CM114" s="11"/>
      <c r="CN114" s="11"/>
      <c r="CO114" s="11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</row>
    <row r="115" spans="1:121" hidden="1" outlineLevel="1">
      <c r="A115" s="22"/>
      <c r="B115" s="27"/>
      <c r="C115" s="22"/>
      <c r="D115" s="22"/>
      <c r="E115" s="3"/>
      <c r="F115" s="3"/>
      <c r="G115" s="22"/>
      <c r="H115" s="27"/>
      <c r="I115" s="27"/>
      <c r="J115" s="29"/>
      <c r="K115" s="29"/>
      <c r="L115" s="29"/>
      <c r="M115" s="29"/>
      <c r="N115" s="29"/>
      <c r="O115" s="29"/>
      <c r="P115" s="29"/>
      <c r="Q115" s="29"/>
      <c r="R115" s="32"/>
      <c r="S115" s="32"/>
      <c r="T115" s="29"/>
      <c r="U115" s="40"/>
      <c r="V115" s="40"/>
      <c r="W115" s="10"/>
      <c r="X115" s="80"/>
      <c r="Y115" s="80"/>
      <c r="Z115" s="31"/>
      <c r="AA115" s="31"/>
      <c r="AB115" s="31"/>
      <c r="AC115" s="31"/>
      <c r="AD115" s="32"/>
      <c r="AE115" s="33"/>
      <c r="AF115" s="33"/>
      <c r="AG115" s="33"/>
      <c r="AH115" s="33"/>
      <c r="AI115" s="87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54"/>
      <c r="BZ115" s="54"/>
      <c r="CI115" s="22"/>
      <c r="CJ115" s="23"/>
      <c r="CK115" s="23"/>
      <c r="CL115" s="11"/>
      <c r="CM115" s="11"/>
      <c r="CN115" s="11"/>
      <c r="CO115" s="11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</row>
    <row r="116" spans="1:121" hidden="1" outlineLevel="1">
      <c r="A116" s="22"/>
      <c r="B116" s="27"/>
      <c r="C116" s="22"/>
      <c r="D116" s="22"/>
      <c r="E116" s="3"/>
      <c r="F116" s="3"/>
      <c r="G116" s="22"/>
      <c r="H116" s="27"/>
      <c r="I116" s="27"/>
      <c r="J116" s="29"/>
      <c r="K116" s="29"/>
      <c r="L116" s="29"/>
      <c r="M116" s="29"/>
      <c r="N116" s="29"/>
      <c r="O116" s="29"/>
      <c r="P116" s="29"/>
      <c r="Q116" s="29"/>
      <c r="R116" s="32"/>
      <c r="S116" s="32"/>
      <c r="T116" s="29"/>
      <c r="U116" s="40"/>
      <c r="V116" s="40"/>
      <c r="W116" s="10"/>
      <c r="X116" s="80"/>
      <c r="Y116" s="80"/>
      <c r="Z116" s="31"/>
      <c r="AA116" s="31"/>
      <c r="AB116" s="31"/>
      <c r="AC116" s="31"/>
      <c r="AD116" s="32"/>
      <c r="AE116" s="33"/>
      <c r="AF116" s="33"/>
      <c r="AG116" s="33"/>
      <c r="AH116" s="33"/>
      <c r="AI116" s="87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54"/>
      <c r="BZ116" s="54"/>
      <c r="CI116" s="22"/>
      <c r="CJ116" s="23"/>
      <c r="CK116" s="23"/>
      <c r="CL116" s="11"/>
      <c r="CM116" s="11"/>
      <c r="CN116" s="11"/>
      <c r="CO116" s="11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</row>
    <row r="117" spans="1:121" hidden="1" outlineLevel="1">
      <c r="A117" s="22"/>
      <c r="B117" s="27"/>
      <c r="C117" s="22"/>
      <c r="D117" s="22"/>
      <c r="E117" s="3"/>
      <c r="F117" s="3"/>
      <c r="G117" s="22"/>
      <c r="H117" s="27"/>
      <c r="I117" s="27"/>
      <c r="J117" s="29"/>
      <c r="K117" s="29"/>
      <c r="L117" s="29"/>
      <c r="M117" s="29"/>
      <c r="N117" s="29"/>
      <c r="O117" s="29"/>
      <c r="P117" s="29"/>
      <c r="Q117" s="29"/>
      <c r="R117" s="32"/>
      <c r="S117" s="32"/>
      <c r="T117" s="29"/>
      <c r="U117" s="40"/>
      <c r="V117" s="40"/>
      <c r="W117" s="10"/>
      <c r="X117" s="80"/>
      <c r="Y117" s="80"/>
      <c r="Z117" s="31"/>
      <c r="AA117" s="31"/>
      <c r="AB117" s="31"/>
      <c r="AC117" s="31"/>
      <c r="AD117" s="32"/>
      <c r="AE117" s="33"/>
      <c r="AF117" s="33"/>
      <c r="AG117" s="33"/>
      <c r="AH117" s="33"/>
      <c r="AI117" s="87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54"/>
      <c r="BZ117" s="54"/>
      <c r="CI117" s="22"/>
      <c r="CJ117" s="23"/>
      <c r="CK117" s="23"/>
      <c r="CL117" s="11"/>
      <c r="CM117" s="11"/>
      <c r="CN117" s="11"/>
      <c r="CO117" s="11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</row>
    <row r="118" spans="1:121" hidden="1" outlineLevel="1">
      <c r="A118" s="22"/>
      <c r="B118" s="27"/>
      <c r="C118" s="22"/>
      <c r="D118" s="22"/>
      <c r="E118" s="3"/>
      <c r="F118" s="3"/>
      <c r="G118" s="22"/>
      <c r="H118" s="27"/>
      <c r="I118" s="27"/>
      <c r="J118" s="29"/>
      <c r="K118" s="29"/>
      <c r="L118" s="29"/>
      <c r="M118" s="29"/>
      <c r="N118" s="29"/>
      <c r="O118" s="29"/>
      <c r="P118" s="29"/>
      <c r="Q118" s="29"/>
      <c r="R118" s="32"/>
      <c r="S118" s="32"/>
      <c r="T118" s="29"/>
      <c r="U118" s="40"/>
      <c r="V118" s="40"/>
      <c r="W118" s="10"/>
      <c r="X118" s="80"/>
      <c r="Y118" s="80"/>
      <c r="Z118" s="31"/>
      <c r="AA118" s="31"/>
      <c r="AB118" s="31"/>
      <c r="AC118" s="31"/>
      <c r="AD118" s="32"/>
      <c r="AE118" s="33"/>
      <c r="AF118" s="33"/>
      <c r="AG118" s="33"/>
      <c r="AH118" s="33"/>
      <c r="AI118" s="87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54"/>
      <c r="BZ118" s="54"/>
      <c r="CI118" s="22"/>
      <c r="CJ118" s="23"/>
      <c r="CK118" s="23"/>
      <c r="CL118" s="11"/>
      <c r="CM118" s="11"/>
      <c r="CN118" s="11"/>
      <c r="CO118" s="11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</row>
    <row r="119" spans="1:121" hidden="1" outlineLevel="1">
      <c r="A119" s="22"/>
      <c r="B119" s="27"/>
      <c r="C119" s="22"/>
      <c r="D119" s="22"/>
      <c r="E119" s="3"/>
      <c r="F119" s="3"/>
      <c r="G119" s="22"/>
      <c r="H119" s="27"/>
      <c r="I119" s="27"/>
      <c r="J119" s="29"/>
      <c r="K119" s="29"/>
      <c r="L119" s="29"/>
      <c r="M119" s="29"/>
      <c r="N119" s="29"/>
      <c r="O119" s="29"/>
      <c r="P119" s="29"/>
      <c r="Q119" s="29"/>
      <c r="R119" s="32"/>
      <c r="S119" s="32"/>
      <c r="T119" s="29"/>
      <c r="U119" s="40"/>
      <c r="V119" s="40"/>
      <c r="W119" s="10"/>
      <c r="X119" s="80"/>
      <c r="Y119" s="80"/>
      <c r="Z119" s="31"/>
      <c r="AA119" s="31"/>
      <c r="AB119" s="31"/>
      <c r="AC119" s="31"/>
      <c r="AD119" s="32"/>
      <c r="AE119" s="33"/>
      <c r="AF119" s="33"/>
      <c r="AG119" s="33"/>
      <c r="AH119" s="33"/>
      <c r="AI119" s="87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54"/>
      <c r="BZ119" s="54"/>
      <c r="CI119" s="22"/>
      <c r="CJ119" s="23"/>
      <c r="CK119" s="23"/>
      <c r="CL119" s="11"/>
      <c r="CM119" s="11"/>
      <c r="CN119" s="11"/>
      <c r="CO119" s="11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</row>
    <row r="120" spans="1:121" hidden="1" outlineLevel="1">
      <c r="A120" s="22"/>
      <c r="B120" s="27"/>
      <c r="C120" s="22"/>
      <c r="D120" s="22"/>
      <c r="E120" s="3"/>
      <c r="F120" s="3"/>
      <c r="G120" s="22"/>
      <c r="H120" s="27"/>
      <c r="I120" s="27"/>
      <c r="J120" s="29"/>
      <c r="K120" s="29"/>
      <c r="L120" s="29"/>
      <c r="M120" s="29"/>
      <c r="N120" s="29"/>
      <c r="O120" s="29"/>
      <c r="P120" s="29"/>
      <c r="Q120" s="29"/>
      <c r="R120" s="32"/>
      <c r="S120" s="32"/>
      <c r="T120" s="29"/>
      <c r="U120" s="40"/>
      <c r="V120" s="40"/>
      <c r="W120" s="10"/>
      <c r="X120" s="80"/>
      <c r="Y120" s="80"/>
      <c r="Z120" s="31"/>
      <c r="AA120" s="31"/>
      <c r="AB120" s="31"/>
      <c r="AC120" s="31"/>
      <c r="AD120" s="32"/>
      <c r="AE120" s="33"/>
      <c r="AF120" s="33"/>
      <c r="AG120" s="33"/>
      <c r="AH120" s="33"/>
      <c r="AI120" s="87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54"/>
      <c r="BZ120" s="54"/>
      <c r="CI120" s="22"/>
      <c r="CJ120" s="23"/>
      <c r="CK120" s="23"/>
      <c r="CL120" s="11"/>
      <c r="CM120" s="11"/>
      <c r="CN120" s="11"/>
      <c r="CO120" s="11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</row>
    <row r="121" spans="1:121" hidden="1" outlineLevel="1">
      <c r="A121" s="22"/>
      <c r="B121" s="27"/>
      <c r="C121" s="22"/>
      <c r="D121" s="22"/>
      <c r="E121" s="3"/>
      <c r="F121" s="3"/>
      <c r="G121" s="22"/>
      <c r="H121" s="27"/>
      <c r="I121" s="27"/>
      <c r="J121" s="29"/>
      <c r="K121" s="29"/>
      <c r="L121" s="29"/>
      <c r="M121" s="29"/>
      <c r="N121" s="29"/>
      <c r="O121" s="29"/>
      <c r="P121" s="29"/>
      <c r="Q121" s="29"/>
      <c r="R121" s="32"/>
      <c r="S121" s="32"/>
      <c r="T121" s="29"/>
      <c r="U121" s="40"/>
      <c r="V121" s="40"/>
      <c r="W121" s="10"/>
      <c r="X121" s="80"/>
      <c r="Y121" s="80"/>
      <c r="Z121" s="31"/>
      <c r="AA121" s="31"/>
      <c r="AB121" s="31"/>
      <c r="AC121" s="31"/>
      <c r="AD121" s="32"/>
      <c r="AE121" s="33"/>
      <c r="AF121" s="33"/>
      <c r="AG121" s="33"/>
      <c r="AH121" s="33"/>
      <c r="AI121" s="87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54"/>
      <c r="BZ121" s="54"/>
      <c r="CI121" s="22"/>
      <c r="CJ121" s="23"/>
      <c r="CK121" s="23"/>
      <c r="CL121" s="11"/>
      <c r="CM121" s="11"/>
      <c r="CN121" s="11"/>
      <c r="CO121" s="11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</row>
    <row r="122" spans="1:121" hidden="1" outlineLevel="1">
      <c r="A122" s="22"/>
      <c r="B122" s="27"/>
      <c r="C122" s="22"/>
      <c r="D122" s="22"/>
      <c r="E122" s="3"/>
      <c r="F122" s="3"/>
      <c r="G122" s="22"/>
      <c r="H122" s="27"/>
      <c r="I122" s="27"/>
      <c r="J122" s="29"/>
      <c r="K122" s="29"/>
      <c r="L122" s="29"/>
      <c r="M122" s="29"/>
      <c r="N122" s="29"/>
      <c r="O122" s="29"/>
      <c r="P122" s="29"/>
      <c r="Q122" s="29"/>
      <c r="R122" s="32"/>
      <c r="S122" s="32"/>
      <c r="T122" s="29"/>
      <c r="U122" s="40"/>
      <c r="V122" s="40"/>
      <c r="W122" s="10"/>
      <c r="X122" s="80"/>
      <c r="Y122" s="80"/>
      <c r="Z122" s="31"/>
      <c r="AA122" s="31"/>
      <c r="AB122" s="31"/>
      <c r="AC122" s="31"/>
      <c r="AD122" s="32"/>
      <c r="AE122" s="33"/>
      <c r="AF122" s="33"/>
      <c r="AG122" s="33"/>
      <c r="AH122" s="33"/>
      <c r="AI122" s="87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54"/>
      <c r="BZ122" s="54"/>
      <c r="CI122" s="22"/>
      <c r="CJ122" s="23"/>
      <c r="CK122" s="23"/>
      <c r="CL122" s="11"/>
      <c r="CM122" s="11"/>
      <c r="CN122" s="11"/>
      <c r="CO122" s="11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</row>
    <row r="123" spans="1:121" hidden="1" outlineLevel="1">
      <c r="A123" s="22"/>
      <c r="B123" s="27"/>
      <c r="C123" s="22"/>
      <c r="D123" s="22"/>
      <c r="E123" s="3"/>
      <c r="F123" s="3"/>
      <c r="G123" s="22"/>
      <c r="H123" s="27"/>
      <c r="I123" s="27"/>
      <c r="J123" s="29"/>
      <c r="K123" s="29"/>
      <c r="L123" s="29"/>
      <c r="M123" s="29"/>
      <c r="N123" s="29"/>
      <c r="O123" s="29"/>
      <c r="P123" s="29"/>
      <c r="Q123" s="29"/>
      <c r="R123" s="32"/>
      <c r="S123" s="32"/>
      <c r="T123" s="29"/>
      <c r="U123" s="40"/>
      <c r="V123" s="40"/>
      <c r="W123" s="10"/>
      <c r="X123" s="80"/>
      <c r="Y123" s="80"/>
      <c r="Z123" s="31"/>
      <c r="AA123" s="31"/>
      <c r="AB123" s="31"/>
      <c r="AC123" s="31"/>
      <c r="AD123" s="32"/>
      <c r="AE123" s="33"/>
      <c r="AF123" s="33"/>
      <c r="AG123" s="33"/>
      <c r="AH123" s="33"/>
      <c r="AI123" s="87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54"/>
      <c r="BZ123" s="54"/>
      <c r="CI123" s="22"/>
      <c r="CJ123" s="23"/>
      <c r="CK123" s="23"/>
      <c r="CL123" s="11"/>
      <c r="CM123" s="11"/>
      <c r="CN123" s="11"/>
      <c r="CO123" s="11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</row>
    <row r="124" spans="1:121" hidden="1" outlineLevel="1">
      <c r="A124" s="22"/>
      <c r="B124" s="27"/>
      <c r="C124" s="22"/>
      <c r="D124" s="22"/>
      <c r="E124" s="3"/>
      <c r="F124" s="3"/>
      <c r="G124" s="22"/>
      <c r="H124" s="27"/>
      <c r="I124" s="27"/>
      <c r="J124" s="29"/>
      <c r="K124" s="29"/>
      <c r="L124" s="29"/>
      <c r="M124" s="29"/>
      <c r="N124" s="29"/>
      <c r="O124" s="29"/>
      <c r="P124" s="29"/>
      <c r="Q124" s="29"/>
      <c r="R124" s="32"/>
      <c r="S124" s="32"/>
      <c r="T124" s="29"/>
      <c r="U124" s="40"/>
      <c r="V124" s="40"/>
      <c r="W124" s="10"/>
      <c r="X124" s="80"/>
      <c r="Y124" s="80"/>
      <c r="Z124" s="31"/>
      <c r="AA124" s="31"/>
      <c r="AB124" s="31"/>
      <c r="AC124" s="31"/>
      <c r="AD124" s="32"/>
      <c r="AE124" s="33"/>
      <c r="AF124" s="33"/>
      <c r="AG124" s="33"/>
      <c r="AH124" s="33"/>
      <c r="AI124" s="87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54"/>
      <c r="BZ124" s="54"/>
      <c r="CI124" s="22"/>
      <c r="CJ124" s="23"/>
      <c r="CK124" s="23"/>
      <c r="CL124" s="11"/>
      <c r="CM124" s="11"/>
      <c r="CN124" s="11"/>
      <c r="CO124" s="11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</row>
    <row r="125" spans="1:121" hidden="1" outlineLevel="1">
      <c r="A125" s="22"/>
      <c r="B125" s="27"/>
      <c r="C125" s="22"/>
      <c r="D125" s="22"/>
      <c r="E125" s="3"/>
      <c r="F125" s="3"/>
      <c r="G125" s="22"/>
      <c r="H125" s="27"/>
      <c r="I125" s="27"/>
      <c r="J125" s="29"/>
      <c r="K125" s="29"/>
      <c r="L125" s="29"/>
      <c r="M125" s="29"/>
      <c r="N125" s="29"/>
      <c r="O125" s="29"/>
      <c r="P125" s="29"/>
      <c r="Q125" s="29"/>
      <c r="R125" s="32"/>
      <c r="S125" s="32"/>
      <c r="T125" s="29"/>
      <c r="U125" s="40"/>
      <c r="V125" s="40"/>
      <c r="W125" s="10"/>
      <c r="X125" s="80"/>
      <c r="Y125" s="80"/>
      <c r="Z125" s="31"/>
      <c r="AA125" s="31"/>
      <c r="AB125" s="31"/>
      <c r="AC125" s="31"/>
      <c r="AD125" s="32"/>
      <c r="AE125" s="33"/>
      <c r="AF125" s="33"/>
      <c r="AG125" s="33"/>
      <c r="AH125" s="33"/>
      <c r="AI125" s="87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54"/>
      <c r="BZ125" s="54"/>
      <c r="CI125" s="22"/>
      <c r="CJ125" s="23"/>
      <c r="CK125" s="23"/>
      <c r="CL125" s="11"/>
      <c r="CM125" s="11"/>
      <c r="CN125" s="11"/>
      <c r="CO125" s="11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</row>
    <row r="126" spans="1:121" hidden="1" outlineLevel="1">
      <c r="A126" s="22"/>
      <c r="B126" s="27"/>
      <c r="C126" s="22"/>
      <c r="D126" s="22"/>
      <c r="E126" s="3"/>
      <c r="F126" s="3"/>
      <c r="G126" s="22"/>
      <c r="H126" s="27"/>
      <c r="I126" s="27"/>
      <c r="J126" s="29"/>
      <c r="K126" s="29"/>
      <c r="L126" s="29"/>
      <c r="M126" s="29"/>
      <c r="N126" s="29"/>
      <c r="O126" s="29"/>
      <c r="P126" s="29"/>
      <c r="Q126" s="29"/>
      <c r="R126" s="32"/>
      <c r="S126" s="32"/>
      <c r="T126" s="29"/>
      <c r="U126" s="40"/>
      <c r="V126" s="40"/>
      <c r="W126" s="10"/>
      <c r="X126" s="80"/>
      <c r="Y126" s="80"/>
      <c r="Z126" s="31"/>
      <c r="AA126" s="31"/>
      <c r="AB126" s="31"/>
      <c r="AC126" s="31"/>
      <c r="AD126" s="32"/>
      <c r="AE126" s="33"/>
      <c r="AF126" s="33"/>
      <c r="AG126" s="33"/>
      <c r="AH126" s="33"/>
      <c r="AI126" s="87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54"/>
      <c r="BZ126" s="54"/>
      <c r="CI126" s="22"/>
      <c r="CJ126" s="23"/>
      <c r="CK126" s="23"/>
      <c r="CL126" s="11"/>
      <c r="CM126" s="11"/>
      <c r="CN126" s="11"/>
      <c r="CO126" s="11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</row>
    <row r="127" spans="1:121" hidden="1" outlineLevel="1">
      <c r="A127" s="22"/>
      <c r="B127" s="27"/>
      <c r="C127" s="22"/>
      <c r="D127" s="22"/>
      <c r="E127" s="3"/>
      <c r="F127" s="3"/>
      <c r="G127" s="22"/>
      <c r="H127" s="27"/>
      <c r="I127" s="27"/>
      <c r="J127" s="29"/>
      <c r="K127" s="29"/>
      <c r="L127" s="29"/>
      <c r="M127" s="29"/>
      <c r="N127" s="29"/>
      <c r="O127" s="29"/>
      <c r="P127" s="29"/>
      <c r="Q127" s="29"/>
      <c r="R127" s="32"/>
      <c r="S127" s="32"/>
      <c r="T127" s="29"/>
      <c r="U127" s="40"/>
      <c r="V127" s="40"/>
      <c r="W127" s="10"/>
      <c r="X127" s="80"/>
      <c r="Y127" s="80"/>
      <c r="Z127" s="31"/>
      <c r="AA127" s="31"/>
      <c r="AB127" s="31"/>
      <c r="AC127" s="31"/>
      <c r="AD127" s="32"/>
      <c r="AE127" s="33"/>
      <c r="AF127" s="33"/>
      <c r="AG127" s="33"/>
      <c r="AH127" s="33"/>
      <c r="AI127" s="87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54"/>
      <c r="BZ127" s="54"/>
      <c r="CI127" s="22"/>
      <c r="CJ127" s="23"/>
      <c r="CK127" s="23"/>
      <c r="CL127" s="11"/>
      <c r="CM127" s="11"/>
      <c r="CN127" s="11"/>
      <c r="CO127" s="11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</row>
    <row r="128" spans="1:121" hidden="1" outlineLevel="1">
      <c r="A128" s="22"/>
      <c r="B128" s="27"/>
      <c r="C128" s="22"/>
      <c r="D128" s="22"/>
      <c r="E128" s="3"/>
      <c r="F128" s="3"/>
      <c r="G128" s="22"/>
      <c r="H128" s="27"/>
      <c r="I128" s="27"/>
      <c r="J128" s="29"/>
      <c r="K128" s="29"/>
      <c r="L128" s="29"/>
      <c r="M128" s="29"/>
      <c r="N128" s="29"/>
      <c r="O128" s="29"/>
      <c r="P128" s="29"/>
      <c r="Q128" s="29"/>
      <c r="R128" s="32"/>
      <c r="S128" s="32"/>
      <c r="T128" s="29"/>
      <c r="U128" s="40"/>
      <c r="V128" s="40"/>
      <c r="W128" s="10"/>
      <c r="X128" s="80"/>
      <c r="Y128" s="80"/>
      <c r="Z128" s="31"/>
      <c r="AA128" s="31"/>
      <c r="AB128" s="31"/>
      <c r="AC128" s="31"/>
      <c r="AD128" s="32"/>
      <c r="AE128" s="33"/>
      <c r="AF128" s="33"/>
      <c r="AG128" s="33"/>
      <c r="AH128" s="33"/>
      <c r="AI128" s="87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54"/>
      <c r="BZ128" s="54"/>
      <c r="CI128" s="22"/>
      <c r="CJ128" s="23"/>
      <c r="CK128" s="23"/>
      <c r="CL128" s="11"/>
      <c r="CM128" s="11"/>
      <c r="CN128" s="11"/>
      <c r="CO128" s="11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</row>
    <row r="129" spans="1:121" hidden="1" outlineLevel="1">
      <c r="A129" s="22"/>
      <c r="B129" s="27"/>
      <c r="C129" s="22"/>
      <c r="D129" s="22"/>
      <c r="E129" s="3"/>
      <c r="F129" s="3"/>
      <c r="G129" s="22"/>
      <c r="H129" s="27"/>
      <c r="I129" s="27"/>
      <c r="J129" s="29"/>
      <c r="K129" s="29"/>
      <c r="L129" s="29"/>
      <c r="M129" s="29"/>
      <c r="N129" s="29"/>
      <c r="O129" s="29"/>
      <c r="P129" s="29"/>
      <c r="Q129" s="29"/>
      <c r="R129" s="32"/>
      <c r="S129" s="32"/>
      <c r="T129" s="29"/>
      <c r="U129" s="40"/>
      <c r="V129" s="40"/>
      <c r="W129" s="10"/>
      <c r="X129" s="80"/>
      <c r="Y129" s="80"/>
      <c r="Z129" s="31"/>
      <c r="AA129" s="31"/>
      <c r="AB129" s="31"/>
      <c r="AC129" s="31"/>
      <c r="AD129" s="32"/>
      <c r="AE129" s="33"/>
      <c r="AF129" s="33"/>
      <c r="AG129" s="33"/>
      <c r="AH129" s="33"/>
      <c r="AI129" s="87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54"/>
      <c r="BZ129" s="54"/>
      <c r="CI129" s="22"/>
      <c r="CJ129" s="23"/>
      <c r="CK129" s="23"/>
      <c r="CL129" s="11"/>
      <c r="CM129" s="11"/>
      <c r="CN129" s="11"/>
      <c r="CO129" s="11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</row>
    <row r="130" spans="1:121" hidden="1" outlineLevel="1">
      <c r="A130" s="22"/>
      <c r="B130" s="27"/>
      <c r="C130" s="22"/>
      <c r="D130" s="22"/>
      <c r="E130" s="3"/>
      <c r="F130" s="3"/>
      <c r="G130" s="22"/>
      <c r="H130" s="27"/>
      <c r="I130" s="27"/>
      <c r="J130" s="29"/>
      <c r="K130" s="29"/>
      <c r="L130" s="29"/>
      <c r="M130" s="29"/>
      <c r="N130" s="29"/>
      <c r="O130" s="29"/>
      <c r="P130" s="29"/>
      <c r="Q130" s="29"/>
      <c r="R130" s="32"/>
      <c r="S130" s="32"/>
      <c r="T130" s="29"/>
      <c r="U130" s="40"/>
      <c r="V130" s="40"/>
      <c r="W130" s="10"/>
      <c r="X130" s="80"/>
      <c r="Y130" s="80"/>
      <c r="Z130" s="31"/>
      <c r="AA130" s="31"/>
      <c r="AB130" s="31"/>
      <c r="AC130" s="31"/>
      <c r="AD130" s="32"/>
      <c r="AE130" s="33"/>
      <c r="AF130" s="33"/>
      <c r="AG130" s="33"/>
      <c r="AH130" s="33"/>
      <c r="AI130" s="87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54"/>
      <c r="BZ130" s="54"/>
      <c r="CI130" s="22"/>
      <c r="CJ130" s="23"/>
      <c r="CK130" s="23"/>
      <c r="CL130" s="11"/>
      <c r="CM130" s="11"/>
      <c r="CN130" s="11"/>
      <c r="CO130" s="11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</row>
    <row r="131" spans="1:121" hidden="1" outlineLevel="1">
      <c r="A131" s="22"/>
      <c r="B131" s="27"/>
      <c r="C131" s="22"/>
      <c r="D131" s="22"/>
      <c r="E131" s="3"/>
      <c r="F131" s="3"/>
      <c r="G131" s="22"/>
      <c r="H131" s="27"/>
      <c r="I131" s="27"/>
      <c r="J131" s="29"/>
      <c r="K131" s="29"/>
      <c r="L131" s="29"/>
      <c r="M131" s="29"/>
      <c r="N131" s="29"/>
      <c r="O131" s="29"/>
      <c r="P131" s="29"/>
      <c r="Q131" s="29"/>
      <c r="R131" s="32"/>
      <c r="S131" s="32"/>
      <c r="T131" s="29"/>
      <c r="U131" s="40"/>
      <c r="V131" s="40"/>
      <c r="W131" s="10"/>
      <c r="X131" s="80"/>
      <c r="Y131" s="80"/>
      <c r="Z131" s="31"/>
      <c r="AA131" s="31"/>
      <c r="AB131" s="31"/>
      <c r="AC131" s="31"/>
      <c r="AD131" s="32"/>
      <c r="AE131" s="33"/>
      <c r="AF131" s="33"/>
      <c r="AG131" s="33"/>
      <c r="AH131" s="33"/>
      <c r="AI131" s="87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54"/>
      <c r="BZ131" s="54"/>
      <c r="CI131" s="22"/>
      <c r="CJ131" s="23"/>
      <c r="CK131" s="23"/>
      <c r="CL131" s="11"/>
      <c r="CM131" s="11"/>
      <c r="CN131" s="11"/>
      <c r="CO131" s="11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</row>
    <row r="132" spans="1:121" hidden="1" outlineLevel="1">
      <c r="A132" s="22"/>
      <c r="B132" s="27"/>
      <c r="C132" s="22"/>
      <c r="D132" s="22"/>
      <c r="E132" s="3"/>
      <c r="F132" s="3"/>
      <c r="G132" s="59"/>
      <c r="H132" s="27"/>
      <c r="I132" s="27"/>
      <c r="J132" s="39"/>
      <c r="K132" s="39"/>
      <c r="L132" s="29"/>
      <c r="M132" s="29"/>
      <c r="N132" s="39"/>
      <c r="O132" s="39"/>
      <c r="P132" s="39"/>
      <c r="Q132" s="39"/>
      <c r="R132" s="32"/>
      <c r="S132" s="32"/>
      <c r="T132" s="39"/>
      <c r="U132" s="32"/>
      <c r="V132" s="32"/>
      <c r="W132" s="10"/>
      <c r="X132" s="80"/>
      <c r="Y132" s="80"/>
      <c r="Z132" s="31"/>
      <c r="AA132" s="31"/>
      <c r="AB132" s="31"/>
      <c r="AC132" s="31"/>
      <c r="AD132" s="32"/>
      <c r="AE132" s="32"/>
      <c r="AF132" s="32"/>
      <c r="AG132" s="32"/>
      <c r="AH132" s="32"/>
      <c r="AI132" s="87"/>
      <c r="AJ132" s="39"/>
      <c r="AK132" s="39"/>
      <c r="AL132" s="39"/>
      <c r="AM132" s="39"/>
      <c r="AN132" s="3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54"/>
      <c r="BZ132" s="54"/>
      <c r="CI132" s="22"/>
      <c r="CJ132" s="23"/>
      <c r="CK132" s="23"/>
      <c r="CL132" s="11"/>
      <c r="CM132" s="11"/>
      <c r="CN132" s="11"/>
      <c r="CO132" s="11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</row>
    <row r="133" spans="1:121" hidden="1" outlineLevel="1">
      <c r="A133" s="22"/>
      <c r="B133" s="27"/>
      <c r="C133" s="22"/>
      <c r="D133" s="22"/>
      <c r="E133" s="3"/>
      <c r="F133" s="3"/>
      <c r="G133" s="22"/>
      <c r="H133" s="27"/>
      <c r="I133" s="27"/>
      <c r="J133" s="29"/>
      <c r="K133" s="29"/>
      <c r="L133" s="29"/>
      <c r="M133" s="29"/>
      <c r="N133" s="29"/>
      <c r="O133" s="29"/>
      <c r="P133" s="29"/>
      <c r="Q133" s="29"/>
      <c r="R133" s="32"/>
      <c r="S133" s="32"/>
      <c r="T133" s="29"/>
      <c r="U133" s="40"/>
      <c r="V133" s="40"/>
      <c r="W133" s="10"/>
      <c r="X133" s="80"/>
      <c r="Y133" s="80"/>
      <c r="Z133" s="31"/>
      <c r="AA133" s="31"/>
      <c r="AB133" s="31"/>
      <c r="AC133" s="31"/>
      <c r="AD133" s="32"/>
      <c r="AE133" s="33"/>
      <c r="AF133" s="33"/>
      <c r="AG133" s="33"/>
      <c r="AH133" s="33"/>
      <c r="AI133" s="87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54"/>
      <c r="BZ133" s="54"/>
      <c r="CI133" s="22"/>
      <c r="CJ133" s="23"/>
      <c r="CK133" s="23"/>
      <c r="CL133" s="11"/>
      <c r="CM133" s="11"/>
      <c r="CN133" s="11"/>
      <c r="CO133" s="11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</row>
    <row r="134" spans="1:121" hidden="1" outlineLevel="1">
      <c r="A134" s="22"/>
      <c r="B134" s="27"/>
      <c r="C134" s="22"/>
      <c r="D134" s="22"/>
      <c r="E134" s="3"/>
      <c r="F134" s="3"/>
      <c r="G134" s="22"/>
      <c r="H134" s="27"/>
      <c r="I134" s="27"/>
      <c r="J134" s="29"/>
      <c r="K134" s="29"/>
      <c r="L134" s="29"/>
      <c r="M134" s="29"/>
      <c r="N134" s="29"/>
      <c r="O134" s="29"/>
      <c r="P134" s="29"/>
      <c r="Q134" s="29"/>
      <c r="R134" s="32"/>
      <c r="S134" s="32"/>
      <c r="T134" s="29"/>
      <c r="U134" s="40"/>
      <c r="V134" s="40"/>
      <c r="W134" s="10"/>
      <c r="X134" s="80"/>
      <c r="Y134" s="80"/>
      <c r="Z134" s="31"/>
      <c r="AA134" s="31"/>
      <c r="AB134" s="31"/>
      <c r="AC134" s="31"/>
      <c r="AD134" s="32"/>
      <c r="AE134" s="33"/>
      <c r="AF134" s="33"/>
      <c r="AG134" s="33"/>
      <c r="AH134" s="33"/>
      <c r="AI134" s="87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54"/>
      <c r="BZ134" s="54"/>
      <c r="CI134" s="22"/>
      <c r="CJ134" s="23"/>
      <c r="CK134" s="23"/>
      <c r="CL134" s="11"/>
      <c r="CM134" s="11"/>
      <c r="CN134" s="11"/>
      <c r="CO134" s="11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</row>
    <row r="135" spans="1:121" hidden="1" outlineLevel="1">
      <c r="A135" s="22"/>
      <c r="B135" s="27"/>
      <c r="C135" s="22"/>
      <c r="D135" s="22"/>
      <c r="E135" s="3"/>
      <c r="F135" s="3"/>
      <c r="G135" s="22"/>
      <c r="H135" s="27"/>
      <c r="I135" s="27"/>
      <c r="J135" s="29"/>
      <c r="K135" s="29"/>
      <c r="L135" s="29"/>
      <c r="M135" s="29"/>
      <c r="N135" s="29"/>
      <c r="O135" s="29"/>
      <c r="P135" s="29"/>
      <c r="Q135" s="29"/>
      <c r="R135" s="32"/>
      <c r="S135" s="32"/>
      <c r="T135" s="29"/>
      <c r="U135" s="40"/>
      <c r="V135" s="40"/>
      <c r="W135" s="10"/>
      <c r="X135" s="80"/>
      <c r="Y135" s="80"/>
      <c r="Z135" s="31"/>
      <c r="AA135" s="31"/>
      <c r="AB135" s="31"/>
      <c r="AC135" s="31"/>
      <c r="AD135" s="32"/>
      <c r="AE135" s="33"/>
      <c r="AF135" s="33"/>
      <c r="AG135" s="33"/>
      <c r="AH135" s="33"/>
      <c r="AI135" s="87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54"/>
      <c r="BZ135" s="54"/>
      <c r="CI135" s="22"/>
      <c r="CJ135" s="23"/>
      <c r="CK135" s="23"/>
      <c r="CL135" s="11"/>
      <c r="CM135" s="11"/>
      <c r="CN135" s="11"/>
      <c r="CO135" s="11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</row>
    <row r="136" spans="1:121" hidden="1" outlineLevel="1">
      <c r="A136" s="22"/>
      <c r="B136" s="27"/>
      <c r="C136" s="22"/>
      <c r="D136" s="22"/>
      <c r="E136" s="3"/>
      <c r="F136" s="3"/>
      <c r="G136" s="22"/>
      <c r="H136" s="27"/>
      <c r="I136" s="27"/>
      <c r="J136" s="29"/>
      <c r="K136" s="29"/>
      <c r="L136" s="29"/>
      <c r="M136" s="29"/>
      <c r="N136" s="29"/>
      <c r="O136" s="29"/>
      <c r="P136" s="29"/>
      <c r="Q136" s="29"/>
      <c r="R136" s="32"/>
      <c r="S136" s="32"/>
      <c r="T136" s="29"/>
      <c r="U136" s="40"/>
      <c r="V136" s="40"/>
      <c r="W136" s="10"/>
      <c r="X136" s="80"/>
      <c r="Y136" s="80"/>
      <c r="Z136" s="31"/>
      <c r="AA136" s="31"/>
      <c r="AB136" s="31"/>
      <c r="AC136" s="31"/>
      <c r="AD136" s="32"/>
      <c r="AE136" s="33"/>
      <c r="AF136" s="33"/>
      <c r="AG136" s="33"/>
      <c r="AH136" s="33"/>
      <c r="AI136" s="87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54"/>
      <c r="BZ136" s="54"/>
      <c r="CI136" s="22"/>
      <c r="CJ136" s="23"/>
      <c r="CK136" s="23"/>
      <c r="CL136" s="11"/>
      <c r="CM136" s="11"/>
      <c r="CN136" s="11"/>
      <c r="CO136" s="11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</row>
    <row r="137" spans="1:121" hidden="1" outlineLevel="1">
      <c r="A137" s="22"/>
      <c r="B137" s="27"/>
      <c r="C137" s="22"/>
      <c r="D137" s="22"/>
      <c r="E137" s="3"/>
      <c r="F137" s="3"/>
      <c r="G137" s="22"/>
      <c r="H137" s="27"/>
      <c r="I137" s="27"/>
      <c r="J137" s="29"/>
      <c r="K137" s="29"/>
      <c r="L137" s="29"/>
      <c r="M137" s="29"/>
      <c r="N137" s="29"/>
      <c r="O137" s="29"/>
      <c r="P137" s="29"/>
      <c r="Q137" s="29"/>
      <c r="R137" s="32"/>
      <c r="S137" s="32"/>
      <c r="T137" s="29"/>
      <c r="U137" s="40"/>
      <c r="V137" s="40"/>
      <c r="W137" s="10"/>
      <c r="X137" s="80"/>
      <c r="Y137" s="80"/>
      <c r="Z137" s="31"/>
      <c r="AA137" s="31"/>
      <c r="AB137" s="31"/>
      <c r="AC137" s="31"/>
      <c r="AD137" s="32"/>
      <c r="AE137" s="33"/>
      <c r="AF137" s="33"/>
      <c r="AG137" s="33"/>
      <c r="AH137" s="33"/>
      <c r="AI137" s="87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54"/>
      <c r="BZ137" s="54"/>
      <c r="CI137" s="22"/>
      <c r="CJ137" s="23"/>
      <c r="CK137" s="23"/>
      <c r="CL137" s="11"/>
      <c r="CM137" s="11"/>
      <c r="CN137" s="11"/>
      <c r="CO137" s="11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</row>
    <row r="138" spans="1:121" hidden="1" outlineLevel="1">
      <c r="A138" s="22"/>
      <c r="B138" s="27"/>
      <c r="C138" s="22"/>
      <c r="D138" s="22"/>
      <c r="E138" s="3"/>
      <c r="F138" s="3"/>
      <c r="G138" s="22"/>
      <c r="H138" s="27"/>
      <c r="I138" s="27"/>
      <c r="J138" s="29"/>
      <c r="K138" s="29"/>
      <c r="L138" s="29"/>
      <c r="M138" s="29"/>
      <c r="N138" s="29"/>
      <c r="O138" s="29"/>
      <c r="P138" s="29"/>
      <c r="Q138" s="29"/>
      <c r="R138" s="32"/>
      <c r="S138" s="32"/>
      <c r="T138" s="29"/>
      <c r="U138" s="40"/>
      <c r="V138" s="40"/>
      <c r="W138" s="10"/>
      <c r="X138" s="80"/>
      <c r="Y138" s="80"/>
      <c r="Z138" s="31"/>
      <c r="AA138" s="31"/>
      <c r="AB138" s="31"/>
      <c r="AC138" s="31"/>
      <c r="AD138" s="32"/>
      <c r="AE138" s="33"/>
      <c r="AF138" s="33"/>
      <c r="AG138" s="33"/>
      <c r="AH138" s="33"/>
      <c r="AI138" s="87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54"/>
      <c r="BZ138" s="54"/>
      <c r="CI138" s="22"/>
      <c r="CJ138" s="23"/>
      <c r="CK138" s="23"/>
      <c r="CL138" s="11"/>
      <c r="CM138" s="11"/>
      <c r="CN138" s="11"/>
      <c r="CO138" s="11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</row>
    <row r="139" spans="1:121" hidden="1" outlineLevel="1">
      <c r="A139" s="22"/>
      <c r="B139" s="27"/>
      <c r="C139" s="22"/>
      <c r="D139" s="22"/>
      <c r="E139" s="3"/>
      <c r="F139" s="3"/>
      <c r="G139" s="22"/>
      <c r="H139" s="27"/>
      <c r="I139" s="27"/>
      <c r="J139" s="29"/>
      <c r="K139" s="29"/>
      <c r="L139" s="29"/>
      <c r="M139" s="29"/>
      <c r="N139" s="29"/>
      <c r="O139" s="29"/>
      <c r="P139" s="29"/>
      <c r="Q139" s="29"/>
      <c r="R139" s="32"/>
      <c r="S139" s="32"/>
      <c r="T139" s="29"/>
      <c r="U139" s="40"/>
      <c r="V139" s="40"/>
      <c r="W139" s="10"/>
      <c r="X139" s="80"/>
      <c r="Y139" s="80"/>
      <c r="Z139" s="31"/>
      <c r="AA139" s="31"/>
      <c r="AB139" s="31"/>
      <c r="AC139" s="31"/>
      <c r="AD139" s="32"/>
      <c r="AE139" s="33"/>
      <c r="AF139" s="33"/>
      <c r="AG139" s="33"/>
      <c r="AH139" s="33"/>
      <c r="AI139" s="87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54"/>
      <c r="BZ139" s="54"/>
      <c r="CI139" s="22"/>
      <c r="CJ139" s="23"/>
      <c r="CK139" s="23"/>
      <c r="CL139" s="11"/>
      <c r="CM139" s="11"/>
      <c r="CN139" s="11"/>
      <c r="CO139" s="11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</row>
    <row r="140" spans="1:121" hidden="1" outlineLevel="1">
      <c r="A140" s="22"/>
      <c r="B140" s="27"/>
      <c r="C140" s="22"/>
      <c r="D140" s="22"/>
      <c r="E140" s="3"/>
      <c r="F140" s="3"/>
      <c r="G140" s="22"/>
      <c r="H140" s="27"/>
      <c r="I140" s="27"/>
      <c r="J140" s="29"/>
      <c r="K140" s="29"/>
      <c r="L140" s="29"/>
      <c r="M140" s="29"/>
      <c r="N140" s="29"/>
      <c r="O140" s="29"/>
      <c r="P140" s="29"/>
      <c r="Q140" s="29"/>
      <c r="R140" s="32"/>
      <c r="S140" s="32"/>
      <c r="T140" s="29"/>
      <c r="U140" s="40"/>
      <c r="V140" s="40"/>
      <c r="W140" s="10"/>
      <c r="X140" s="80"/>
      <c r="Y140" s="80"/>
      <c r="Z140" s="31"/>
      <c r="AA140" s="31"/>
      <c r="AB140" s="31"/>
      <c r="AC140" s="31"/>
      <c r="AD140" s="32"/>
      <c r="AE140" s="33"/>
      <c r="AF140" s="33"/>
      <c r="AG140" s="33"/>
      <c r="AH140" s="33"/>
      <c r="AI140" s="87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54"/>
      <c r="BZ140" s="54"/>
      <c r="CI140" s="22"/>
      <c r="CJ140" s="23"/>
      <c r="CK140" s="23"/>
      <c r="CL140" s="11"/>
      <c r="CM140" s="11"/>
      <c r="CN140" s="11"/>
      <c r="CO140" s="11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</row>
    <row r="141" spans="1:121" hidden="1" outlineLevel="1">
      <c r="A141" s="22"/>
      <c r="B141" s="27"/>
      <c r="C141" s="22"/>
      <c r="D141" s="22"/>
      <c r="E141" s="3"/>
      <c r="F141" s="3"/>
      <c r="G141" s="22"/>
      <c r="H141" s="27"/>
      <c r="I141" s="27"/>
      <c r="J141" s="29"/>
      <c r="K141" s="29"/>
      <c r="L141" s="29"/>
      <c r="M141" s="29"/>
      <c r="N141" s="29"/>
      <c r="O141" s="29"/>
      <c r="P141" s="29"/>
      <c r="Q141" s="29"/>
      <c r="R141" s="32"/>
      <c r="S141" s="32"/>
      <c r="T141" s="29"/>
      <c r="U141" s="40"/>
      <c r="V141" s="40"/>
      <c r="W141" s="10"/>
      <c r="X141" s="80"/>
      <c r="Y141" s="80"/>
      <c r="Z141" s="31"/>
      <c r="AA141" s="31"/>
      <c r="AB141" s="31"/>
      <c r="AC141" s="31"/>
      <c r="AD141" s="32"/>
      <c r="AE141" s="33"/>
      <c r="AF141" s="33"/>
      <c r="AG141" s="33"/>
      <c r="AH141" s="33"/>
      <c r="AI141" s="87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54"/>
      <c r="BZ141" s="54"/>
      <c r="CI141" s="22"/>
      <c r="CJ141" s="23"/>
      <c r="CK141" s="23"/>
      <c r="CL141" s="11"/>
      <c r="CM141" s="11"/>
      <c r="CN141" s="11"/>
      <c r="CO141" s="11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</row>
    <row r="142" spans="1:121" hidden="1" outlineLevel="1">
      <c r="A142" s="22"/>
      <c r="B142" s="27"/>
      <c r="C142" s="22"/>
      <c r="D142" s="22"/>
      <c r="E142" s="3"/>
      <c r="F142" s="3"/>
      <c r="G142" s="22"/>
      <c r="H142" s="27"/>
      <c r="I142" s="27"/>
      <c r="J142" s="29"/>
      <c r="K142" s="29"/>
      <c r="L142" s="29"/>
      <c r="M142" s="29"/>
      <c r="N142" s="29"/>
      <c r="O142" s="29"/>
      <c r="P142" s="29"/>
      <c r="Q142" s="29"/>
      <c r="R142" s="32"/>
      <c r="S142" s="32"/>
      <c r="T142" s="29"/>
      <c r="U142" s="40"/>
      <c r="V142" s="40"/>
      <c r="W142" s="10"/>
      <c r="X142" s="80"/>
      <c r="Y142" s="80"/>
      <c r="Z142" s="31"/>
      <c r="AA142" s="31"/>
      <c r="AB142" s="31"/>
      <c r="AC142" s="31"/>
      <c r="AD142" s="32"/>
      <c r="AE142" s="33"/>
      <c r="AF142" s="33"/>
      <c r="AG142" s="33"/>
      <c r="AH142" s="33"/>
      <c r="AI142" s="87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54"/>
      <c r="BZ142" s="54"/>
      <c r="CI142" s="22"/>
      <c r="CJ142" s="23"/>
      <c r="CK142" s="23"/>
      <c r="CL142" s="11"/>
      <c r="CM142" s="11"/>
      <c r="CN142" s="11"/>
      <c r="CO142" s="11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</row>
    <row r="143" spans="1:121" hidden="1" outlineLevel="1">
      <c r="A143" s="22"/>
      <c r="B143" s="27"/>
      <c r="C143" s="22"/>
      <c r="D143" s="22"/>
      <c r="E143" s="3"/>
      <c r="F143" s="3"/>
      <c r="G143" s="22"/>
      <c r="H143" s="27"/>
      <c r="I143" s="27"/>
      <c r="J143" s="29"/>
      <c r="K143" s="29"/>
      <c r="L143" s="29"/>
      <c r="M143" s="29"/>
      <c r="N143" s="29"/>
      <c r="O143" s="29"/>
      <c r="P143" s="29"/>
      <c r="Q143" s="29"/>
      <c r="R143" s="32"/>
      <c r="S143" s="32"/>
      <c r="T143" s="29"/>
      <c r="U143" s="40"/>
      <c r="V143" s="40"/>
      <c r="W143" s="10"/>
      <c r="X143" s="80"/>
      <c r="Y143" s="80"/>
      <c r="Z143" s="31"/>
      <c r="AA143" s="31"/>
      <c r="AB143" s="31"/>
      <c r="AC143" s="31"/>
      <c r="AD143" s="32"/>
      <c r="AE143" s="33"/>
      <c r="AF143" s="33"/>
      <c r="AG143" s="33"/>
      <c r="AH143" s="33"/>
      <c r="AI143" s="87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54"/>
      <c r="BZ143" s="54"/>
      <c r="CI143" s="22"/>
      <c r="CJ143" s="23"/>
      <c r="CK143" s="23"/>
      <c r="CL143" s="11"/>
      <c r="CM143" s="11"/>
      <c r="CN143" s="11"/>
      <c r="CO143" s="11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</row>
    <row r="144" spans="1:121" hidden="1" outlineLevel="1">
      <c r="A144" s="22"/>
      <c r="B144" s="27"/>
      <c r="C144" s="22"/>
      <c r="D144" s="22"/>
      <c r="E144" s="3"/>
      <c r="F144" s="3"/>
      <c r="G144" s="22"/>
      <c r="H144" s="27"/>
      <c r="I144" s="27"/>
      <c r="J144" s="29"/>
      <c r="K144" s="29"/>
      <c r="L144" s="29"/>
      <c r="M144" s="29"/>
      <c r="N144" s="29"/>
      <c r="O144" s="29"/>
      <c r="P144" s="29"/>
      <c r="Q144" s="29"/>
      <c r="R144" s="32"/>
      <c r="S144" s="32"/>
      <c r="T144" s="29"/>
      <c r="U144" s="40"/>
      <c r="V144" s="40"/>
      <c r="W144" s="10"/>
      <c r="X144" s="80"/>
      <c r="Y144" s="80"/>
      <c r="Z144" s="31"/>
      <c r="AA144" s="31"/>
      <c r="AB144" s="31"/>
      <c r="AC144" s="31"/>
      <c r="AD144" s="32"/>
      <c r="AE144" s="33"/>
      <c r="AF144" s="33"/>
      <c r="AG144" s="33"/>
      <c r="AH144" s="33"/>
      <c r="AI144" s="87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54"/>
      <c r="BZ144" s="54"/>
      <c r="CI144" s="22"/>
      <c r="CJ144" s="23"/>
      <c r="CK144" s="23"/>
      <c r="CL144" s="11"/>
      <c r="CM144" s="11"/>
      <c r="CN144" s="11"/>
      <c r="CO144" s="11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</row>
    <row r="145" spans="1:121" hidden="1" outlineLevel="1">
      <c r="A145" s="22"/>
      <c r="B145" s="27"/>
      <c r="C145" s="22"/>
      <c r="D145" s="22"/>
      <c r="E145" s="3"/>
      <c r="F145" s="3"/>
      <c r="G145" s="22"/>
      <c r="H145" s="27"/>
      <c r="I145" s="27"/>
      <c r="J145" s="29"/>
      <c r="K145" s="29"/>
      <c r="L145" s="29"/>
      <c r="M145" s="29"/>
      <c r="N145" s="29"/>
      <c r="O145" s="29"/>
      <c r="P145" s="29"/>
      <c r="Q145" s="29"/>
      <c r="R145" s="32"/>
      <c r="S145" s="32"/>
      <c r="T145" s="29"/>
      <c r="U145" s="40"/>
      <c r="V145" s="40"/>
      <c r="W145" s="10"/>
      <c r="X145" s="80"/>
      <c r="Y145" s="80"/>
      <c r="Z145" s="31"/>
      <c r="AA145" s="31"/>
      <c r="AB145" s="31"/>
      <c r="AC145" s="31"/>
      <c r="AD145" s="32"/>
      <c r="AE145" s="33"/>
      <c r="AF145" s="33"/>
      <c r="AG145" s="33"/>
      <c r="AH145" s="33"/>
      <c r="AI145" s="87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54"/>
      <c r="BZ145" s="54"/>
      <c r="CI145" s="22"/>
      <c r="CJ145" s="23"/>
      <c r="CK145" s="23"/>
      <c r="CL145" s="11"/>
      <c r="CM145" s="11"/>
      <c r="CN145" s="11"/>
      <c r="CO145" s="11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</row>
    <row r="146" spans="1:121" hidden="1" outlineLevel="1">
      <c r="A146" s="22"/>
      <c r="B146" s="27"/>
      <c r="C146" s="22"/>
      <c r="D146" s="22"/>
      <c r="E146" s="3"/>
      <c r="F146" s="3"/>
      <c r="G146" s="22"/>
      <c r="H146" s="27"/>
      <c r="I146" s="27"/>
      <c r="J146" s="29"/>
      <c r="K146" s="29"/>
      <c r="L146" s="29"/>
      <c r="M146" s="29"/>
      <c r="N146" s="29"/>
      <c r="O146" s="29"/>
      <c r="P146" s="29"/>
      <c r="Q146" s="29"/>
      <c r="R146" s="32"/>
      <c r="S146" s="32"/>
      <c r="T146" s="29"/>
      <c r="U146" s="40"/>
      <c r="V146" s="40"/>
      <c r="W146" s="10"/>
      <c r="X146" s="80"/>
      <c r="Y146" s="80"/>
      <c r="Z146" s="31"/>
      <c r="AA146" s="31"/>
      <c r="AB146" s="31"/>
      <c r="AC146" s="31"/>
      <c r="AD146" s="32"/>
      <c r="AE146" s="33"/>
      <c r="AF146" s="33"/>
      <c r="AG146" s="33"/>
      <c r="AH146" s="33"/>
      <c r="AI146" s="87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54"/>
      <c r="BZ146" s="54"/>
      <c r="CI146" s="22"/>
      <c r="CJ146" s="23"/>
      <c r="CK146" s="23"/>
      <c r="CL146" s="11"/>
      <c r="CM146" s="11"/>
      <c r="CN146" s="11"/>
      <c r="CO146" s="11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</row>
    <row r="147" spans="1:121" hidden="1" outlineLevel="1">
      <c r="A147" s="22"/>
      <c r="B147" s="27"/>
      <c r="C147" s="22"/>
      <c r="D147" s="22"/>
      <c r="E147" s="3"/>
      <c r="F147" s="3"/>
      <c r="G147" s="22"/>
      <c r="H147" s="27"/>
      <c r="I147" s="27"/>
      <c r="J147" s="29"/>
      <c r="K147" s="29"/>
      <c r="L147" s="29"/>
      <c r="M147" s="29"/>
      <c r="N147" s="29"/>
      <c r="O147" s="29"/>
      <c r="P147" s="29"/>
      <c r="Q147" s="29"/>
      <c r="R147" s="32"/>
      <c r="S147" s="32"/>
      <c r="T147" s="29"/>
      <c r="U147" s="40"/>
      <c r="V147" s="40"/>
      <c r="W147" s="10"/>
      <c r="X147" s="80"/>
      <c r="Y147" s="80"/>
      <c r="Z147" s="31"/>
      <c r="AA147" s="31"/>
      <c r="AB147" s="31"/>
      <c r="AC147" s="31"/>
      <c r="AD147" s="32"/>
      <c r="AE147" s="33"/>
      <c r="AF147" s="33"/>
      <c r="AG147" s="33"/>
      <c r="AH147" s="33"/>
      <c r="AI147" s="87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54"/>
      <c r="BZ147" s="54"/>
      <c r="CI147" s="22"/>
      <c r="CJ147" s="23"/>
      <c r="CK147" s="23"/>
      <c r="CL147" s="11"/>
      <c r="CM147" s="11"/>
      <c r="CN147" s="11"/>
      <c r="CO147" s="11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</row>
    <row r="148" spans="1:121" hidden="1" outlineLevel="1">
      <c r="A148" s="22"/>
      <c r="B148" s="27"/>
      <c r="C148" s="22"/>
      <c r="D148" s="22"/>
      <c r="E148" s="3"/>
      <c r="F148" s="3"/>
      <c r="G148" s="22"/>
      <c r="H148" s="27"/>
      <c r="I148" s="27"/>
      <c r="J148" s="29"/>
      <c r="K148" s="29"/>
      <c r="L148" s="29"/>
      <c r="M148" s="29"/>
      <c r="N148" s="29"/>
      <c r="O148" s="29"/>
      <c r="P148" s="29"/>
      <c r="Q148" s="29"/>
      <c r="R148" s="32"/>
      <c r="S148" s="32"/>
      <c r="T148" s="29"/>
      <c r="U148" s="40"/>
      <c r="V148" s="40"/>
      <c r="W148" s="10"/>
      <c r="X148" s="80"/>
      <c r="Y148" s="80"/>
      <c r="Z148" s="31"/>
      <c r="AA148" s="31"/>
      <c r="AB148" s="31"/>
      <c r="AC148" s="31"/>
      <c r="AD148" s="32"/>
      <c r="AE148" s="33"/>
      <c r="AF148" s="33"/>
      <c r="AG148" s="33"/>
      <c r="AH148" s="33"/>
      <c r="AI148" s="87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54"/>
      <c r="BZ148" s="54"/>
      <c r="CI148" s="22"/>
      <c r="CJ148" s="23"/>
      <c r="CK148" s="23"/>
      <c r="CL148" s="11"/>
      <c r="CM148" s="11"/>
      <c r="CN148" s="11"/>
      <c r="CO148" s="11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</row>
    <row r="149" spans="1:121" hidden="1" outlineLevel="1">
      <c r="A149" s="22"/>
      <c r="B149" s="27"/>
      <c r="C149" s="22"/>
      <c r="D149" s="22"/>
      <c r="E149" s="3"/>
      <c r="F149" s="3"/>
      <c r="G149" s="22"/>
      <c r="H149" s="27"/>
      <c r="I149" s="27"/>
      <c r="J149" s="29"/>
      <c r="K149" s="29"/>
      <c r="L149" s="29"/>
      <c r="M149" s="29"/>
      <c r="N149" s="29"/>
      <c r="O149" s="29"/>
      <c r="P149" s="29"/>
      <c r="Q149" s="29"/>
      <c r="R149" s="32"/>
      <c r="S149" s="32"/>
      <c r="T149" s="29"/>
      <c r="U149" s="40"/>
      <c r="V149" s="40"/>
      <c r="W149" s="10"/>
      <c r="X149" s="80"/>
      <c r="Y149" s="80"/>
      <c r="Z149" s="31"/>
      <c r="AA149" s="31"/>
      <c r="AB149" s="31"/>
      <c r="AC149" s="31"/>
      <c r="AD149" s="32"/>
      <c r="AE149" s="33"/>
      <c r="AF149" s="33"/>
      <c r="AG149" s="33"/>
      <c r="AH149" s="33"/>
      <c r="AI149" s="87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54"/>
      <c r="BZ149" s="54"/>
      <c r="CI149" s="22"/>
      <c r="CJ149" s="23"/>
      <c r="CK149" s="23"/>
      <c r="CL149" s="11"/>
      <c r="CM149" s="11"/>
      <c r="CN149" s="11"/>
      <c r="CO149" s="11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</row>
    <row r="150" spans="1:121" hidden="1" outlineLevel="1">
      <c r="A150" s="22"/>
      <c r="B150" s="27"/>
      <c r="C150" s="22"/>
      <c r="D150" s="22"/>
      <c r="E150" s="3"/>
      <c r="F150" s="3"/>
      <c r="G150" s="22"/>
      <c r="H150" s="27"/>
      <c r="I150" s="27"/>
      <c r="J150" s="29"/>
      <c r="K150" s="29"/>
      <c r="L150" s="29"/>
      <c r="M150" s="29"/>
      <c r="N150" s="29"/>
      <c r="O150" s="29"/>
      <c r="P150" s="29"/>
      <c r="Q150" s="29"/>
      <c r="R150" s="32"/>
      <c r="S150" s="32"/>
      <c r="T150" s="29"/>
      <c r="U150" s="40"/>
      <c r="V150" s="40"/>
      <c r="W150" s="10"/>
      <c r="X150" s="80"/>
      <c r="Y150" s="80"/>
      <c r="Z150" s="31"/>
      <c r="AA150" s="31"/>
      <c r="AB150" s="31"/>
      <c r="AC150" s="31"/>
      <c r="AD150" s="32"/>
      <c r="AE150" s="33"/>
      <c r="AF150" s="33"/>
      <c r="AG150" s="33"/>
      <c r="AH150" s="33"/>
      <c r="AI150" s="87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54"/>
      <c r="BZ150" s="54"/>
      <c r="CI150" s="22"/>
      <c r="CJ150" s="23"/>
      <c r="CK150" s="23"/>
      <c r="CL150" s="11"/>
      <c r="CM150" s="11"/>
      <c r="CN150" s="11"/>
      <c r="CO150" s="11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</row>
    <row r="151" spans="1:121" hidden="1" outlineLevel="1">
      <c r="A151" s="22"/>
      <c r="B151" s="27"/>
      <c r="C151" s="22"/>
      <c r="D151" s="22"/>
      <c r="E151" s="3"/>
      <c r="F151" s="3"/>
      <c r="G151" s="22"/>
      <c r="H151" s="27"/>
      <c r="I151" s="27"/>
      <c r="J151" s="29"/>
      <c r="K151" s="29"/>
      <c r="L151" s="29"/>
      <c r="M151" s="29"/>
      <c r="N151" s="29"/>
      <c r="O151" s="29"/>
      <c r="P151" s="29"/>
      <c r="Q151" s="29"/>
      <c r="R151" s="32"/>
      <c r="S151" s="32"/>
      <c r="T151" s="29"/>
      <c r="U151" s="40"/>
      <c r="V151" s="40"/>
      <c r="W151" s="10"/>
      <c r="X151" s="80"/>
      <c r="Y151" s="80"/>
      <c r="Z151" s="31"/>
      <c r="AA151" s="31"/>
      <c r="AB151" s="31"/>
      <c r="AC151" s="31"/>
      <c r="AD151" s="32"/>
      <c r="AE151" s="33"/>
      <c r="AF151" s="33"/>
      <c r="AG151" s="33"/>
      <c r="AH151" s="33"/>
      <c r="AI151" s="87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54"/>
      <c r="BZ151" s="54"/>
      <c r="CI151" s="22"/>
      <c r="CJ151" s="23"/>
      <c r="CK151" s="23"/>
      <c r="CL151" s="11"/>
      <c r="CM151" s="11"/>
      <c r="CN151" s="11"/>
      <c r="CO151" s="11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</row>
    <row r="152" spans="1:121" hidden="1" outlineLevel="1">
      <c r="A152" s="22"/>
      <c r="B152" s="27"/>
      <c r="C152" s="22"/>
      <c r="D152" s="22"/>
      <c r="E152" s="3"/>
      <c r="F152" s="3"/>
      <c r="G152" s="22"/>
      <c r="H152" s="27"/>
      <c r="I152" s="27"/>
      <c r="J152" s="29"/>
      <c r="K152" s="29"/>
      <c r="L152" s="29"/>
      <c r="M152" s="29"/>
      <c r="N152" s="29"/>
      <c r="O152" s="29"/>
      <c r="P152" s="29"/>
      <c r="Q152" s="29"/>
      <c r="R152" s="32"/>
      <c r="S152" s="32"/>
      <c r="T152" s="29"/>
      <c r="U152" s="40"/>
      <c r="V152" s="40"/>
      <c r="W152" s="10"/>
      <c r="X152" s="80"/>
      <c r="Y152" s="80"/>
      <c r="Z152" s="31"/>
      <c r="AA152" s="31"/>
      <c r="AB152" s="31"/>
      <c r="AC152" s="31"/>
      <c r="AD152" s="32"/>
      <c r="AE152" s="33"/>
      <c r="AF152" s="33"/>
      <c r="AG152" s="33"/>
      <c r="AH152" s="33"/>
      <c r="AI152" s="87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54"/>
      <c r="BZ152" s="54"/>
      <c r="CI152" s="22"/>
      <c r="CJ152" s="23"/>
      <c r="CK152" s="23"/>
      <c r="CL152" s="11"/>
      <c r="CM152" s="11"/>
      <c r="CN152" s="11"/>
      <c r="CO152" s="11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</row>
    <row r="153" spans="1:121" hidden="1" outlineLevel="1">
      <c r="A153" s="22"/>
      <c r="B153" s="27"/>
      <c r="C153" s="22"/>
      <c r="D153" s="22"/>
      <c r="E153" s="3"/>
      <c r="F153" s="3"/>
      <c r="G153" s="22"/>
      <c r="H153" s="27"/>
      <c r="I153" s="27"/>
      <c r="J153" s="29"/>
      <c r="K153" s="29"/>
      <c r="L153" s="29"/>
      <c r="M153" s="29"/>
      <c r="N153" s="29"/>
      <c r="O153" s="29"/>
      <c r="P153" s="29"/>
      <c r="Q153" s="29"/>
      <c r="R153" s="32"/>
      <c r="S153" s="32"/>
      <c r="T153" s="29"/>
      <c r="U153" s="40"/>
      <c r="V153" s="40"/>
      <c r="W153" s="10"/>
      <c r="X153" s="80"/>
      <c r="Y153" s="80"/>
      <c r="Z153" s="31"/>
      <c r="AA153" s="31"/>
      <c r="AB153" s="31"/>
      <c r="AC153" s="31"/>
      <c r="AD153" s="32"/>
      <c r="AE153" s="33"/>
      <c r="AF153" s="33"/>
      <c r="AG153" s="33"/>
      <c r="AH153" s="33"/>
      <c r="AI153" s="87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54"/>
      <c r="BZ153" s="54"/>
      <c r="CI153" s="22"/>
      <c r="CJ153" s="23"/>
      <c r="CK153" s="23"/>
      <c r="CL153" s="11"/>
      <c r="CM153" s="11"/>
      <c r="CN153" s="11"/>
      <c r="CO153" s="11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</row>
    <row r="154" spans="1:121" hidden="1" outlineLevel="1">
      <c r="A154" s="22"/>
      <c r="B154" s="27"/>
      <c r="C154" s="22"/>
      <c r="D154" s="22"/>
      <c r="E154" s="3"/>
      <c r="F154" s="3"/>
      <c r="G154" s="22"/>
      <c r="H154" s="27"/>
      <c r="I154" s="27"/>
      <c r="J154" s="29"/>
      <c r="K154" s="29"/>
      <c r="L154" s="29"/>
      <c r="M154" s="29"/>
      <c r="N154" s="29"/>
      <c r="O154" s="29"/>
      <c r="P154" s="29"/>
      <c r="Q154" s="29"/>
      <c r="R154" s="32"/>
      <c r="S154" s="32"/>
      <c r="T154" s="29"/>
      <c r="U154" s="40"/>
      <c r="V154" s="40"/>
      <c r="W154" s="10"/>
      <c r="X154" s="80"/>
      <c r="Y154" s="80"/>
      <c r="Z154" s="31"/>
      <c r="AA154" s="31"/>
      <c r="AB154" s="31"/>
      <c r="AC154" s="31"/>
      <c r="AD154" s="32"/>
      <c r="AE154" s="33"/>
      <c r="AF154" s="33"/>
      <c r="AG154" s="33"/>
      <c r="AH154" s="33"/>
      <c r="AI154" s="87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54"/>
      <c r="BZ154" s="54"/>
      <c r="CI154" s="22"/>
      <c r="CJ154" s="23"/>
      <c r="CK154" s="23"/>
      <c r="CL154" s="11"/>
      <c r="CM154" s="11"/>
      <c r="CN154" s="11"/>
      <c r="CO154" s="11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</row>
    <row r="155" spans="1:121" hidden="1" outlineLevel="1">
      <c r="A155" s="22"/>
      <c r="B155" s="27"/>
      <c r="C155" s="22"/>
      <c r="D155" s="22"/>
      <c r="E155" s="3"/>
      <c r="F155" s="3"/>
      <c r="G155" s="22"/>
      <c r="H155" s="27"/>
      <c r="I155" s="27"/>
      <c r="J155" s="29"/>
      <c r="K155" s="29"/>
      <c r="L155" s="29"/>
      <c r="M155" s="29"/>
      <c r="N155" s="29"/>
      <c r="O155" s="29"/>
      <c r="P155" s="29"/>
      <c r="Q155" s="29"/>
      <c r="R155" s="32"/>
      <c r="S155" s="32"/>
      <c r="T155" s="29"/>
      <c r="U155" s="40"/>
      <c r="V155" s="40"/>
      <c r="W155" s="10"/>
      <c r="X155" s="80"/>
      <c r="Y155" s="80"/>
      <c r="Z155" s="31"/>
      <c r="AA155" s="31"/>
      <c r="AB155" s="31"/>
      <c r="AC155" s="31"/>
      <c r="AD155" s="32"/>
      <c r="AE155" s="33"/>
      <c r="AF155" s="33"/>
      <c r="AG155" s="33"/>
      <c r="AH155" s="33"/>
      <c r="AI155" s="87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54"/>
      <c r="BZ155" s="54"/>
      <c r="CI155" s="22"/>
      <c r="CJ155" s="23"/>
      <c r="CK155" s="23"/>
      <c r="CL155" s="11"/>
      <c r="CM155" s="11"/>
      <c r="CN155" s="11"/>
      <c r="CO155" s="11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</row>
    <row r="156" spans="1:121" hidden="1" outlineLevel="1">
      <c r="A156" s="22"/>
      <c r="B156" s="27"/>
      <c r="C156" s="22"/>
      <c r="D156" s="22"/>
      <c r="E156" s="3"/>
      <c r="F156" s="3"/>
      <c r="G156" s="22"/>
      <c r="H156" s="27"/>
      <c r="I156" s="27"/>
      <c r="J156" s="29"/>
      <c r="K156" s="29"/>
      <c r="L156" s="29"/>
      <c r="M156" s="29"/>
      <c r="N156" s="29"/>
      <c r="O156" s="29"/>
      <c r="P156" s="29"/>
      <c r="Q156" s="29"/>
      <c r="R156" s="32"/>
      <c r="S156" s="32"/>
      <c r="T156" s="29"/>
      <c r="U156" s="40"/>
      <c r="V156" s="40"/>
      <c r="W156" s="10"/>
      <c r="X156" s="80"/>
      <c r="Y156" s="80"/>
      <c r="Z156" s="31"/>
      <c r="AA156" s="31"/>
      <c r="AB156" s="31"/>
      <c r="AC156" s="31"/>
      <c r="AD156" s="32"/>
      <c r="AE156" s="33"/>
      <c r="AF156" s="33"/>
      <c r="AG156" s="33"/>
      <c r="AH156" s="33"/>
      <c r="AI156" s="87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54"/>
      <c r="BZ156" s="54"/>
      <c r="CI156" s="22"/>
      <c r="CJ156" s="23"/>
      <c r="CK156" s="23"/>
      <c r="CL156" s="11"/>
      <c r="CM156" s="11"/>
      <c r="CN156" s="11"/>
      <c r="CO156" s="11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</row>
    <row r="157" spans="1:121" hidden="1" outlineLevel="1">
      <c r="A157" s="22"/>
      <c r="B157" s="27"/>
      <c r="C157" s="22"/>
      <c r="D157" s="22"/>
      <c r="E157" s="3"/>
      <c r="F157" s="3"/>
      <c r="G157" s="22"/>
      <c r="H157" s="27"/>
      <c r="I157" s="27"/>
      <c r="J157" s="29"/>
      <c r="K157" s="29"/>
      <c r="L157" s="29"/>
      <c r="M157" s="29"/>
      <c r="N157" s="29"/>
      <c r="O157" s="29"/>
      <c r="P157" s="29"/>
      <c r="Q157" s="29"/>
      <c r="R157" s="32"/>
      <c r="S157" s="32"/>
      <c r="T157" s="29"/>
      <c r="U157" s="40"/>
      <c r="V157" s="40"/>
      <c r="W157" s="10"/>
      <c r="X157" s="80"/>
      <c r="Y157" s="80"/>
      <c r="Z157" s="31"/>
      <c r="AA157" s="31"/>
      <c r="AB157" s="31"/>
      <c r="AC157" s="31"/>
      <c r="AD157" s="32"/>
      <c r="AE157" s="33"/>
      <c r="AF157" s="33"/>
      <c r="AG157" s="33"/>
      <c r="AH157" s="33"/>
      <c r="AI157" s="87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54"/>
      <c r="BZ157" s="54"/>
      <c r="CI157" s="22"/>
      <c r="CJ157" s="23"/>
      <c r="CK157" s="23"/>
      <c r="CL157" s="11"/>
      <c r="CM157" s="11"/>
      <c r="CN157" s="11"/>
      <c r="CO157" s="11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</row>
    <row r="158" spans="1:121" hidden="1" outlineLevel="1">
      <c r="A158" s="22"/>
      <c r="B158" s="27"/>
      <c r="C158" s="22"/>
      <c r="D158" s="22"/>
      <c r="E158" s="3"/>
      <c r="F158" s="3"/>
      <c r="G158" s="22"/>
      <c r="H158" s="27"/>
      <c r="I158" s="27"/>
      <c r="J158" s="29"/>
      <c r="K158" s="29"/>
      <c r="L158" s="29"/>
      <c r="M158" s="29"/>
      <c r="N158" s="29"/>
      <c r="O158" s="29"/>
      <c r="P158" s="29"/>
      <c r="Q158" s="29"/>
      <c r="R158" s="32"/>
      <c r="S158" s="32"/>
      <c r="T158" s="29"/>
      <c r="U158" s="40"/>
      <c r="V158" s="40"/>
      <c r="W158" s="10"/>
      <c r="X158" s="80"/>
      <c r="Y158" s="80"/>
      <c r="Z158" s="31"/>
      <c r="AA158" s="31"/>
      <c r="AB158" s="31"/>
      <c r="AC158" s="31"/>
      <c r="AD158" s="32"/>
      <c r="AE158" s="33"/>
      <c r="AF158" s="33"/>
      <c r="AG158" s="33"/>
      <c r="AH158" s="33"/>
      <c r="AI158" s="87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54"/>
      <c r="BZ158" s="54"/>
      <c r="CI158" s="22"/>
      <c r="CJ158" s="23"/>
      <c r="CK158" s="23"/>
      <c r="CL158" s="11"/>
      <c r="CM158" s="11"/>
      <c r="CN158" s="11"/>
      <c r="CO158" s="11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</row>
    <row r="159" spans="1:121" hidden="1" outlineLevel="1">
      <c r="A159" s="22"/>
      <c r="B159" s="27"/>
      <c r="C159" s="22"/>
      <c r="D159" s="22"/>
      <c r="E159" s="3"/>
      <c r="F159" s="3"/>
      <c r="G159" s="22"/>
      <c r="H159" s="27"/>
      <c r="I159" s="27"/>
      <c r="J159" s="29"/>
      <c r="K159" s="29"/>
      <c r="L159" s="29"/>
      <c r="M159" s="29"/>
      <c r="N159" s="29"/>
      <c r="O159" s="29"/>
      <c r="P159" s="29"/>
      <c r="Q159" s="29"/>
      <c r="R159" s="32"/>
      <c r="S159" s="32"/>
      <c r="T159" s="29"/>
      <c r="U159" s="40"/>
      <c r="V159" s="40"/>
      <c r="W159" s="10"/>
      <c r="X159" s="80"/>
      <c r="Y159" s="80"/>
      <c r="Z159" s="31"/>
      <c r="AA159" s="31"/>
      <c r="AB159" s="31"/>
      <c r="AC159" s="31"/>
      <c r="AD159" s="32"/>
      <c r="AE159" s="33"/>
      <c r="AF159" s="33"/>
      <c r="AG159" s="33"/>
      <c r="AH159" s="33"/>
      <c r="AI159" s="87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54"/>
      <c r="BZ159" s="54"/>
      <c r="CI159" s="22"/>
      <c r="CJ159" s="23"/>
      <c r="CK159" s="23"/>
      <c r="CL159" s="11"/>
      <c r="CM159" s="11"/>
      <c r="CN159" s="11"/>
      <c r="CO159" s="11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</row>
    <row r="160" spans="1:121" hidden="1" outlineLevel="1">
      <c r="A160" s="22"/>
      <c r="B160" s="27"/>
      <c r="C160" s="22"/>
      <c r="D160" s="22"/>
      <c r="E160" s="3"/>
      <c r="F160" s="3"/>
      <c r="G160" s="22"/>
      <c r="H160" s="27"/>
      <c r="I160" s="27"/>
      <c r="J160" s="29"/>
      <c r="K160" s="29"/>
      <c r="L160" s="29"/>
      <c r="M160" s="29"/>
      <c r="N160" s="29"/>
      <c r="O160" s="29"/>
      <c r="P160" s="29"/>
      <c r="Q160" s="29"/>
      <c r="R160" s="32"/>
      <c r="S160" s="32"/>
      <c r="T160" s="29"/>
      <c r="U160" s="40"/>
      <c r="V160" s="40"/>
      <c r="W160" s="10"/>
      <c r="X160" s="80"/>
      <c r="Y160" s="80"/>
      <c r="Z160" s="31"/>
      <c r="AA160" s="31"/>
      <c r="AB160" s="31"/>
      <c r="AC160" s="31"/>
      <c r="AD160" s="32"/>
      <c r="AE160" s="33"/>
      <c r="AF160" s="33"/>
      <c r="AG160" s="33"/>
      <c r="AH160" s="33"/>
      <c r="AI160" s="87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54"/>
      <c r="BZ160" s="54"/>
      <c r="CI160" s="22"/>
      <c r="CJ160" s="23"/>
      <c r="CK160" s="23"/>
      <c r="CL160" s="11"/>
      <c r="CM160" s="11"/>
      <c r="CN160" s="11"/>
      <c r="CO160" s="11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</row>
    <row r="161" spans="1:121" hidden="1" outlineLevel="1">
      <c r="A161" s="22"/>
      <c r="B161" s="27"/>
      <c r="C161" s="22"/>
      <c r="D161" s="22"/>
      <c r="E161" s="3"/>
      <c r="F161" s="3"/>
      <c r="G161" s="22"/>
      <c r="H161" s="27"/>
      <c r="I161" s="27"/>
      <c r="J161" s="29"/>
      <c r="K161" s="29"/>
      <c r="L161" s="29"/>
      <c r="M161" s="29"/>
      <c r="N161" s="29"/>
      <c r="O161" s="29"/>
      <c r="P161" s="29"/>
      <c r="Q161" s="29"/>
      <c r="R161" s="32"/>
      <c r="S161" s="32"/>
      <c r="T161" s="29"/>
      <c r="U161" s="40"/>
      <c r="V161" s="40"/>
      <c r="W161" s="10"/>
      <c r="X161" s="80"/>
      <c r="Y161" s="80"/>
      <c r="Z161" s="31"/>
      <c r="AA161" s="31"/>
      <c r="AB161" s="31"/>
      <c r="AC161" s="31"/>
      <c r="AD161" s="32"/>
      <c r="AE161" s="33"/>
      <c r="AF161" s="33"/>
      <c r="AG161" s="33"/>
      <c r="AH161" s="33"/>
      <c r="AI161" s="87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54"/>
      <c r="BZ161" s="54"/>
      <c r="CI161" s="22"/>
      <c r="CJ161" s="23"/>
      <c r="CK161" s="23"/>
      <c r="CL161" s="11"/>
      <c r="CM161" s="11"/>
      <c r="CN161" s="11"/>
      <c r="CO161" s="11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</row>
    <row r="162" spans="1:121" hidden="1" outlineLevel="1">
      <c r="A162" s="22"/>
      <c r="B162" s="27"/>
      <c r="C162" s="22"/>
      <c r="D162" s="22"/>
      <c r="E162" s="3"/>
      <c r="F162" s="3"/>
      <c r="G162" s="22"/>
      <c r="H162" s="27"/>
      <c r="I162" s="27"/>
      <c r="J162" s="29"/>
      <c r="K162" s="29"/>
      <c r="L162" s="29"/>
      <c r="M162" s="29"/>
      <c r="N162" s="29"/>
      <c r="O162" s="29"/>
      <c r="P162" s="29"/>
      <c r="Q162" s="29"/>
      <c r="R162" s="32"/>
      <c r="S162" s="32"/>
      <c r="T162" s="29"/>
      <c r="U162" s="40"/>
      <c r="V162" s="40"/>
      <c r="W162" s="10"/>
      <c r="X162" s="80"/>
      <c r="Y162" s="80"/>
      <c r="Z162" s="31"/>
      <c r="AA162" s="31"/>
      <c r="AB162" s="31"/>
      <c r="AC162" s="31"/>
      <c r="AD162" s="32"/>
      <c r="AE162" s="33"/>
      <c r="AF162" s="33"/>
      <c r="AG162" s="33"/>
      <c r="AH162" s="33"/>
      <c r="AI162" s="87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54"/>
      <c r="BZ162" s="54"/>
      <c r="CI162" s="22"/>
      <c r="CJ162" s="23"/>
      <c r="CK162" s="23"/>
      <c r="CL162" s="11"/>
      <c r="CM162" s="11"/>
      <c r="CN162" s="11"/>
      <c r="CO162" s="11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</row>
    <row r="163" spans="1:121" hidden="1" outlineLevel="1">
      <c r="A163" s="22"/>
      <c r="B163" s="27"/>
      <c r="C163" s="22"/>
      <c r="D163" s="22"/>
      <c r="E163" s="3"/>
      <c r="F163" s="3"/>
      <c r="G163" s="22"/>
      <c r="H163" s="27"/>
      <c r="I163" s="27"/>
      <c r="J163" s="29"/>
      <c r="K163" s="29"/>
      <c r="L163" s="29"/>
      <c r="M163" s="29"/>
      <c r="N163" s="29"/>
      <c r="O163" s="29"/>
      <c r="P163" s="29"/>
      <c r="Q163" s="29"/>
      <c r="R163" s="32"/>
      <c r="S163" s="32"/>
      <c r="T163" s="29"/>
      <c r="U163" s="40"/>
      <c r="V163" s="40"/>
      <c r="W163" s="10"/>
      <c r="X163" s="80"/>
      <c r="Y163" s="80"/>
      <c r="Z163" s="31"/>
      <c r="AA163" s="31"/>
      <c r="AB163" s="31"/>
      <c r="AC163" s="31"/>
      <c r="AD163" s="32"/>
      <c r="AE163" s="33"/>
      <c r="AF163" s="33"/>
      <c r="AG163" s="33"/>
      <c r="AH163" s="33"/>
      <c r="AI163" s="87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54"/>
      <c r="BZ163" s="54"/>
      <c r="CI163" s="22"/>
      <c r="CJ163" s="23"/>
      <c r="CK163" s="23"/>
      <c r="CL163" s="11"/>
      <c r="CM163" s="11"/>
      <c r="CN163" s="11"/>
      <c r="CO163" s="11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</row>
    <row r="164" spans="1:121" hidden="1" outlineLevel="1">
      <c r="A164" s="22"/>
      <c r="B164" s="27"/>
      <c r="C164" s="22"/>
      <c r="D164" s="22"/>
      <c r="E164" s="3"/>
      <c r="F164" s="3"/>
      <c r="G164" s="22"/>
      <c r="H164" s="27"/>
      <c r="I164" s="27"/>
      <c r="J164" s="29"/>
      <c r="K164" s="29"/>
      <c r="L164" s="29"/>
      <c r="M164" s="29"/>
      <c r="N164" s="29"/>
      <c r="O164" s="29"/>
      <c r="P164" s="29"/>
      <c r="Q164" s="29"/>
      <c r="R164" s="32"/>
      <c r="S164" s="32"/>
      <c r="T164" s="29"/>
      <c r="U164" s="40"/>
      <c r="V164" s="40"/>
      <c r="W164" s="10"/>
      <c r="X164" s="80"/>
      <c r="Y164" s="80"/>
      <c r="Z164" s="31"/>
      <c r="AA164" s="31"/>
      <c r="AB164" s="31"/>
      <c r="AC164" s="31"/>
      <c r="AD164" s="32"/>
      <c r="AE164" s="33"/>
      <c r="AF164" s="33"/>
      <c r="AG164" s="33"/>
      <c r="AH164" s="33"/>
      <c r="AI164" s="87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54"/>
      <c r="BZ164" s="54"/>
      <c r="CI164" s="22"/>
      <c r="CJ164" s="23"/>
      <c r="CK164" s="23"/>
      <c r="CL164" s="11"/>
      <c r="CM164" s="11"/>
      <c r="CN164" s="11"/>
      <c r="CO164" s="11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</row>
    <row r="165" spans="1:121" hidden="1" outlineLevel="1">
      <c r="A165" s="22"/>
      <c r="B165" s="27"/>
      <c r="C165" s="22"/>
      <c r="D165" s="22"/>
      <c r="E165" s="3"/>
      <c r="F165" s="3"/>
      <c r="G165" s="22"/>
      <c r="H165" s="27"/>
      <c r="I165" s="27"/>
      <c r="J165" s="29"/>
      <c r="K165" s="29"/>
      <c r="L165" s="29"/>
      <c r="M165" s="29"/>
      <c r="N165" s="29"/>
      <c r="O165" s="29"/>
      <c r="P165" s="29"/>
      <c r="Q165" s="29"/>
      <c r="R165" s="32"/>
      <c r="S165" s="32"/>
      <c r="T165" s="29"/>
      <c r="U165" s="40"/>
      <c r="V165" s="40"/>
      <c r="W165" s="10"/>
      <c r="X165" s="80"/>
      <c r="Y165" s="80"/>
      <c r="Z165" s="31"/>
      <c r="AA165" s="31"/>
      <c r="AB165" s="31"/>
      <c r="AC165" s="31"/>
      <c r="AD165" s="32"/>
      <c r="AE165" s="33"/>
      <c r="AF165" s="33"/>
      <c r="AG165" s="33"/>
      <c r="AH165" s="33"/>
      <c r="AI165" s="87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54"/>
      <c r="BZ165" s="54"/>
      <c r="CI165" s="22"/>
      <c r="CJ165" s="23"/>
      <c r="CK165" s="23"/>
      <c r="CL165" s="11"/>
      <c r="CM165" s="11"/>
      <c r="CN165" s="11"/>
      <c r="CO165" s="11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</row>
    <row r="166" spans="1:121" hidden="1" outlineLevel="1">
      <c r="A166" s="22"/>
      <c r="B166" s="27"/>
      <c r="C166" s="22"/>
      <c r="D166" s="22"/>
      <c r="E166" s="3"/>
      <c r="F166" s="3"/>
      <c r="G166" s="22"/>
      <c r="H166" s="27"/>
      <c r="I166" s="27"/>
      <c r="J166" s="29"/>
      <c r="K166" s="29"/>
      <c r="L166" s="29"/>
      <c r="M166" s="29"/>
      <c r="N166" s="29"/>
      <c r="O166" s="29"/>
      <c r="P166" s="29"/>
      <c r="Q166" s="29"/>
      <c r="R166" s="32"/>
      <c r="S166" s="32"/>
      <c r="T166" s="29"/>
      <c r="U166" s="40"/>
      <c r="V166" s="40"/>
      <c r="W166" s="10"/>
      <c r="X166" s="80"/>
      <c r="Y166" s="80"/>
      <c r="Z166" s="31"/>
      <c r="AA166" s="31"/>
      <c r="AB166" s="31"/>
      <c r="AC166" s="31"/>
      <c r="AD166" s="32"/>
      <c r="AE166" s="33"/>
      <c r="AF166" s="33"/>
      <c r="AG166" s="33"/>
      <c r="AH166" s="33"/>
      <c r="AI166" s="87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54"/>
      <c r="BZ166" s="54"/>
      <c r="CI166" s="22"/>
      <c r="CJ166" s="23"/>
      <c r="CK166" s="23"/>
      <c r="CL166" s="11"/>
      <c r="CM166" s="11"/>
      <c r="CN166" s="11"/>
      <c r="CO166" s="11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</row>
    <row r="167" spans="1:121" hidden="1" outlineLevel="1">
      <c r="A167" s="22"/>
      <c r="B167" s="27"/>
      <c r="C167" s="22"/>
      <c r="D167" s="22"/>
      <c r="E167" s="3"/>
      <c r="F167" s="3"/>
      <c r="G167" s="22"/>
      <c r="H167" s="27"/>
      <c r="I167" s="27"/>
      <c r="J167" s="29"/>
      <c r="K167" s="29"/>
      <c r="L167" s="29"/>
      <c r="M167" s="29"/>
      <c r="N167" s="29"/>
      <c r="O167" s="29"/>
      <c r="P167" s="29"/>
      <c r="Q167" s="29"/>
      <c r="R167" s="32"/>
      <c r="S167" s="32"/>
      <c r="T167" s="29"/>
      <c r="U167" s="40"/>
      <c r="V167" s="40"/>
      <c r="W167" s="10"/>
      <c r="X167" s="80"/>
      <c r="Y167" s="80"/>
      <c r="Z167" s="31"/>
      <c r="AA167" s="31"/>
      <c r="AB167" s="31"/>
      <c r="AC167" s="31"/>
      <c r="AD167" s="32"/>
      <c r="AE167" s="33"/>
      <c r="AF167" s="33"/>
      <c r="AG167" s="33"/>
      <c r="AH167" s="33"/>
      <c r="AI167" s="87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54"/>
      <c r="BZ167" s="54"/>
      <c r="CI167" s="22"/>
      <c r="CJ167" s="23"/>
      <c r="CK167" s="23"/>
      <c r="CL167" s="11"/>
      <c r="CM167" s="11"/>
      <c r="CN167" s="11"/>
      <c r="CO167" s="11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</row>
    <row r="168" spans="1:121" hidden="1" outlineLevel="1">
      <c r="A168" s="22"/>
      <c r="B168" s="27"/>
      <c r="C168" s="22"/>
      <c r="D168" s="22"/>
      <c r="E168" s="3"/>
      <c r="F168" s="3"/>
      <c r="G168" s="22"/>
      <c r="H168" s="27"/>
      <c r="I168" s="27"/>
      <c r="J168" s="29"/>
      <c r="K168" s="29"/>
      <c r="L168" s="29"/>
      <c r="M168" s="29"/>
      <c r="N168" s="29"/>
      <c r="O168" s="29"/>
      <c r="P168" s="29"/>
      <c r="Q168" s="29"/>
      <c r="R168" s="32"/>
      <c r="S168" s="32"/>
      <c r="T168" s="29"/>
      <c r="U168" s="40"/>
      <c r="V168" s="40"/>
      <c r="W168" s="10"/>
      <c r="X168" s="80"/>
      <c r="Y168" s="80"/>
      <c r="Z168" s="31"/>
      <c r="AA168" s="31"/>
      <c r="AB168" s="31"/>
      <c r="AC168" s="31"/>
      <c r="AD168" s="32"/>
      <c r="AE168" s="33"/>
      <c r="AF168" s="33"/>
      <c r="AG168" s="33"/>
      <c r="AH168" s="33"/>
      <c r="AI168" s="87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54"/>
      <c r="BZ168" s="54"/>
      <c r="CI168" s="22"/>
      <c r="CJ168" s="23"/>
      <c r="CK168" s="23"/>
      <c r="CL168" s="11"/>
      <c r="CM168" s="11"/>
      <c r="CN168" s="11"/>
      <c r="CO168" s="11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</row>
    <row r="169" spans="1:121" hidden="1" outlineLevel="1">
      <c r="A169" s="22"/>
      <c r="B169" s="27"/>
      <c r="C169" s="22"/>
      <c r="D169" s="22"/>
      <c r="E169" s="3"/>
      <c r="F169" s="3"/>
      <c r="G169" s="22"/>
      <c r="H169" s="27"/>
      <c r="I169" s="27"/>
      <c r="J169" s="29"/>
      <c r="K169" s="29"/>
      <c r="L169" s="29"/>
      <c r="M169" s="29"/>
      <c r="N169" s="29"/>
      <c r="O169" s="29"/>
      <c r="P169" s="29"/>
      <c r="Q169" s="29"/>
      <c r="R169" s="32"/>
      <c r="S169" s="32"/>
      <c r="T169" s="29"/>
      <c r="U169" s="40"/>
      <c r="V169" s="40"/>
      <c r="W169" s="10"/>
      <c r="X169" s="80"/>
      <c r="Y169" s="80"/>
      <c r="Z169" s="31"/>
      <c r="AA169" s="31"/>
      <c r="AB169" s="31"/>
      <c r="AC169" s="31"/>
      <c r="AD169" s="32"/>
      <c r="AE169" s="33"/>
      <c r="AF169" s="33"/>
      <c r="AG169" s="33"/>
      <c r="AH169" s="33"/>
      <c r="AI169" s="87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54"/>
      <c r="BZ169" s="54"/>
      <c r="CI169" s="22"/>
      <c r="CJ169" s="23"/>
      <c r="CK169" s="23"/>
      <c r="CL169" s="11"/>
      <c r="CM169" s="11"/>
      <c r="CN169" s="11"/>
      <c r="CO169" s="11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</row>
    <row r="170" spans="1:121" hidden="1" outlineLevel="1">
      <c r="A170" s="22"/>
      <c r="B170" s="27"/>
      <c r="C170" s="22"/>
      <c r="D170" s="22"/>
      <c r="E170" s="3"/>
      <c r="F170" s="3"/>
      <c r="G170" s="22"/>
      <c r="H170" s="27"/>
      <c r="I170" s="27"/>
      <c r="J170" s="29"/>
      <c r="K170" s="29"/>
      <c r="L170" s="29"/>
      <c r="M170" s="29"/>
      <c r="N170" s="29"/>
      <c r="O170" s="29"/>
      <c r="P170" s="29"/>
      <c r="Q170" s="29"/>
      <c r="R170" s="32"/>
      <c r="S170" s="32"/>
      <c r="T170" s="29"/>
      <c r="U170" s="40"/>
      <c r="V170" s="40"/>
      <c r="W170" s="10"/>
      <c r="X170" s="80"/>
      <c r="Y170" s="80"/>
      <c r="Z170" s="31"/>
      <c r="AA170" s="31"/>
      <c r="AB170" s="31"/>
      <c r="AC170" s="31"/>
      <c r="AD170" s="32"/>
      <c r="AE170" s="33"/>
      <c r="AF170" s="33"/>
      <c r="AG170" s="33"/>
      <c r="AH170" s="33"/>
      <c r="AI170" s="87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54"/>
      <c r="BZ170" s="54"/>
      <c r="CI170" s="22"/>
      <c r="CJ170" s="23"/>
      <c r="CK170" s="23"/>
      <c r="CL170" s="11"/>
      <c r="CM170" s="11"/>
      <c r="CN170" s="11"/>
      <c r="CO170" s="11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</row>
    <row r="171" spans="1:121" hidden="1" outlineLevel="1">
      <c r="A171" s="22"/>
      <c r="B171" s="27"/>
      <c r="C171" s="22"/>
      <c r="D171" s="22"/>
      <c r="E171" s="3"/>
      <c r="F171" s="3"/>
      <c r="G171" s="22"/>
      <c r="H171" s="27"/>
      <c r="I171" s="27"/>
      <c r="J171" s="29"/>
      <c r="K171" s="29"/>
      <c r="L171" s="29"/>
      <c r="M171" s="29"/>
      <c r="N171" s="29"/>
      <c r="O171" s="29"/>
      <c r="P171" s="29"/>
      <c r="Q171" s="29"/>
      <c r="R171" s="32"/>
      <c r="S171" s="32"/>
      <c r="T171" s="29"/>
      <c r="U171" s="40"/>
      <c r="V171" s="40"/>
      <c r="W171" s="10"/>
      <c r="X171" s="80"/>
      <c r="Y171" s="80"/>
      <c r="Z171" s="31"/>
      <c r="AA171" s="31"/>
      <c r="AB171" s="31"/>
      <c r="AC171" s="31"/>
      <c r="AD171" s="32"/>
      <c r="AE171" s="33"/>
      <c r="AF171" s="33"/>
      <c r="AG171" s="33"/>
      <c r="AH171" s="33"/>
      <c r="AI171" s="87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54"/>
      <c r="BZ171" s="54"/>
      <c r="CI171" s="22"/>
      <c r="CJ171" s="23"/>
      <c r="CK171" s="23"/>
      <c r="CL171" s="11"/>
      <c r="CM171" s="11"/>
      <c r="CN171" s="11"/>
      <c r="CO171" s="11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</row>
    <row r="172" spans="1:121" hidden="1" outlineLevel="1">
      <c r="A172" s="22"/>
      <c r="B172" s="27"/>
      <c r="C172" s="22"/>
      <c r="D172" s="22"/>
      <c r="E172" s="3"/>
      <c r="F172" s="3"/>
      <c r="G172" s="22"/>
      <c r="H172" s="27"/>
      <c r="I172" s="27"/>
      <c r="J172" s="29"/>
      <c r="K172" s="29"/>
      <c r="L172" s="29"/>
      <c r="M172" s="29"/>
      <c r="N172" s="29"/>
      <c r="O172" s="29"/>
      <c r="P172" s="29"/>
      <c r="Q172" s="29"/>
      <c r="R172" s="32"/>
      <c r="S172" s="32"/>
      <c r="T172" s="29"/>
      <c r="U172" s="40"/>
      <c r="V172" s="40"/>
      <c r="W172" s="10"/>
      <c r="X172" s="80"/>
      <c r="Y172" s="80"/>
      <c r="Z172" s="31"/>
      <c r="AA172" s="31"/>
      <c r="AB172" s="31"/>
      <c r="AC172" s="31"/>
      <c r="AD172" s="32"/>
      <c r="AE172" s="33"/>
      <c r="AF172" s="33"/>
      <c r="AG172" s="33"/>
      <c r="AH172" s="33"/>
      <c r="AI172" s="87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54"/>
      <c r="BZ172" s="54"/>
      <c r="CI172" s="22"/>
      <c r="CJ172" s="23"/>
      <c r="CK172" s="23"/>
      <c r="CL172" s="11"/>
      <c r="CM172" s="11"/>
      <c r="CN172" s="11"/>
      <c r="CO172" s="11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</row>
    <row r="173" spans="1:121" hidden="1" outlineLevel="1">
      <c r="A173" s="22"/>
      <c r="B173" s="27"/>
      <c r="C173" s="22"/>
      <c r="D173" s="22"/>
      <c r="E173" s="3"/>
      <c r="F173" s="3"/>
      <c r="G173" s="22"/>
      <c r="H173" s="27"/>
      <c r="I173" s="27"/>
      <c r="J173" s="29"/>
      <c r="K173" s="29"/>
      <c r="L173" s="29"/>
      <c r="M173" s="29"/>
      <c r="N173" s="29"/>
      <c r="O173" s="29"/>
      <c r="P173" s="29"/>
      <c r="Q173" s="29"/>
      <c r="R173" s="32"/>
      <c r="S173" s="32"/>
      <c r="T173" s="29"/>
      <c r="U173" s="40"/>
      <c r="V173" s="40"/>
      <c r="W173" s="10"/>
      <c r="X173" s="80"/>
      <c r="Y173" s="80"/>
      <c r="Z173" s="31"/>
      <c r="AA173" s="31"/>
      <c r="AB173" s="31"/>
      <c r="AC173" s="31"/>
      <c r="AD173" s="32"/>
      <c r="AE173" s="33"/>
      <c r="AF173" s="33"/>
      <c r="AG173" s="33"/>
      <c r="AH173" s="33"/>
      <c r="AI173" s="87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54"/>
      <c r="BZ173" s="54"/>
      <c r="CI173" s="22"/>
      <c r="CJ173" s="23"/>
      <c r="CK173" s="23"/>
      <c r="CL173" s="11"/>
      <c r="CM173" s="11"/>
      <c r="CN173" s="11"/>
      <c r="CO173" s="11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</row>
    <row r="174" spans="1:121" hidden="1" outlineLevel="1">
      <c r="A174" s="22"/>
      <c r="B174" s="27"/>
      <c r="C174" s="22"/>
      <c r="D174" s="22"/>
      <c r="E174" s="3"/>
      <c r="F174" s="3"/>
      <c r="G174" s="22"/>
      <c r="H174" s="27"/>
      <c r="I174" s="27"/>
      <c r="J174" s="29"/>
      <c r="K174" s="29"/>
      <c r="L174" s="29"/>
      <c r="M174" s="29"/>
      <c r="N174" s="29"/>
      <c r="O174" s="29"/>
      <c r="P174" s="29"/>
      <c r="Q174" s="29"/>
      <c r="R174" s="32"/>
      <c r="S174" s="32"/>
      <c r="T174" s="29"/>
      <c r="U174" s="40"/>
      <c r="V174" s="40"/>
      <c r="W174" s="10"/>
      <c r="X174" s="80"/>
      <c r="Y174" s="80"/>
      <c r="Z174" s="31"/>
      <c r="AA174" s="31"/>
      <c r="AB174" s="31"/>
      <c r="AC174" s="31"/>
      <c r="AD174" s="32"/>
      <c r="AE174" s="33"/>
      <c r="AF174" s="33"/>
      <c r="AG174" s="33"/>
      <c r="AH174" s="33"/>
      <c r="AI174" s="87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54"/>
      <c r="BZ174" s="54"/>
      <c r="CI174" s="22"/>
      <c r="CJ174" s="23"/>
      <c r="CK174" s="23"/>
      <c r="CL174" s="11"/>
      <c r="CM174" s="11"/>
      <c r="CN174" s="11"/>
      <c r="CO174" s="11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</row>
    <row r="175" spans="1:121" hidden="1" outlineLevel="1">
      <c r="A175" s="22"/>
      <c r="B175" s="27"/>
      <c r="C175" s="22"/>
      <c r="D175" s="22"/>
      <c r="E175" s="3"/>
      <c r="F175" s="3"/>
      <c r="G175" s="22"/>
      <c r="H175" s="27"/>
      <c r="I175" s="27"/>
      <c r="J175" s="29"/>
      <c r="K175" s="29"/>
      <c r="L175" s="29"/>
      <c r="M175" s="29"/>
      <c r="N175" s="29"/>
      <c r="O175" s="29"/>
      <c r="P175" s="29"/>
      <c r="Q175" s="29"/>
      <c r="R175" s="32"/>
      <c r="S175" s="32"/>
      <c r="T175" s="29"/>
      <c r="U175" s="40"/>
      <c r="V175" s="40"/>
      <c r="W175" s="10"/>
      <c r="X175" s="80"/>
      <c r="Y175" s="80"/>
      <c r="Z175" s="31"/>
      <c r="AA175" s="31"/>
      <c r="AB175" s="31"/>
      <c r="AC175" s="31"/>
      <c r="AD175" s="32"/>
      <c r="AE175" s="33"/>
      <c r="AF175" s="33"/>
      <c r="AG175" s="33"/>
      <c r="AH175" s="33"/>
      <c r="AI175" s="87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54"/>
      <c r="BZ175" s="54"/>
      <c r="CI175" s="22"/>
      <c r="CJ175" s="23"/>
      <c r="CK175" s="23"/>
      <c r="CL175" s="11"/>
      <c r="CM175" s="11"/>
      <c r="CN175" s="11"/>
      <c r="CO175" s="11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</row>
    <row r="176" spans="1:121" hidden="1" outlineLevel="1">
      <c r="A176" s="22"/>
      <c r="B176" s="27"/>
      <c r="C176" s="22"/>
      <c r="D176" s="22"/>
      <c r="E176" s="3"/>
      <c r="F176" s="3"/>
      <c r="G176" s="22"/>
      <c r="H176" s="27"/>
      <c r="I176" s="27"/>
      <c r="J176" s="29"/>
      <c r="K176" s="29"/>
      <c r="L176" s="29"/>
      <c r="M176" s="29"/>
      <c r="N176" s="29"/>
      <c r="O176" s="29"/>
      <c r="P176" s="29"/>
      <c r="Q176" s="29"/>
      <c r="R176" s="32"/>
      <c r="S176" s="32"/>
      <c r="T176" s="29"/>
      <c r="U176" s="40"/>
      <c r="V176" s="40"/>
      <c r="W176" s="10"/>
      <c r="X176" s="80"/>
      <c r="Y176" s="80"/>
      <c r="Z176" s="31"/>
      <c r="AA176" s="31"/>
      <c r="AB176" s="31"/>
      <c r="AC176" s="31"/>
      <c r="AD176" s="32"/>
      <c r="AE176" s="33"/>
      <c r="AF176" s="33"/>
      <c r="AG176" s="33"/>
      <c r="AH176" s="33"/>
      <c r="AI176" s="87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54"/>
      <c r="BZ176" s="54"/>
      <c r="CI176" s="22"/>
      <c r="CJ176" s="23"/>
      <c r="CK176" s="23"/>
      <c r="CL176" s="11"/>
      <c r="CM176" s="11"/>
      <c r="CN176" s="11"/>
      <c r="CO176" s="11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</row>
    <row r="177" spans="1:121" hidden="1" outlineLevel="1">
      <c r="A177" s="22"/>
      <c r="B177" s="27"/>
      <c r="C177" s="22"/>
      <c r="D177" s="22"/>
      <c r="E177" s="3"/>
      <c r="F177" s="3"/>
      <c r="G177" s="22"/>
      <c r="H177" s="27"/>
      <c r="I177" s="27"/>
      <c r="J177" s="29"/>
      <c r="K177" s="29"/>
      <c r="L177" s="29"/>
      <c r="M177" s="29"/>
      <c r="N177" s="29"/>
      <c r="O177" s="29"/>
      <c r="P177" s="29"/>
      <c r="Q177" s="29"/>
      <c r="R177" s="32"/>
      <c r="S177" s="32"/>
      <c r="T177" s="29"/>
      <c r="U177" s="40"/>
      <c r="V177" s="40"/>
      <c r="W177" s="10"/>
      <c r="X177" s="80"/>
      <c r="Y177" s="80"/>
      <c r="Z177" s="31"/>
      <c r="AA177" s="31"/>
      <c r="AB177" s="31"/>
      <c r="AC177" s="31"/>
      <c r="AD177" s="32"/>
      <c r="AE177" s="33"/>
      <c r="AF177" s="33"/>
      <c r="AG177" s="33"/>
      <c r="AH177" s="33"/>
      <c r="AI177" s="87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54"/>
      <c r="BZ177" s="54"/>
      <c r="CI177" s="22"/>
      <c r="CJ177" s="23"/>
      <c r="CK177" s="23"/>
      <c r="CL177" s="11"/>
      <c r="CM177" s="11"/>
      <c r="CN177" s="11"/>
      <c r="CO177" s="11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</row>
    <row r="178" spans="1:121" hidden="1" outlineLevel="1">
      <c r="A178" s="22"/>
      <c r="B178" s="27"/>
      <c r="C178" s="22"/>
      <c r="D178" s="22"/>
      <c r="E178" s="3"/>
      <c r="F178" s="3"/>
      <c r="G178" s="22"/>
      <c r="H178" s="27"/>
      <c r="I178" s="27"/>
      <c r="J178" s="29"/>
      <c r="K178" s="29"/>
      <c r="L178" s="29"/>
      <c r="M178" s="29"/>
      <c r="N178" s="29"/>
      <c r="O178" s="29"/>
      <c r="P178" s="29"/>
      <c r="Q178" s="29"/>
      <c r="R178" s="32"/>
      <c r="S178" s="32"/>
      <c r="T178" s="29"/>
      <c r="U178" s="40"/>
      <c r="V178" s="40"/>
      <c r="W178" s="10"/>
      <c r="X178" s="80"/>
      <c r="Y178" s="80"/>
      <c r="Z178" s="31"/>
      <c r="AA178" s="31"/>
      <c r="AB178" s="31"/>
      <c r="AC178" s="31"/>
      <c r="AD178" s="32"/>
      <c r="AE178" s="33"/>
      <c r="AF178" s="33"/>
      <c r="AG178" s="33"/>
      <c r="AH178" s="33"/>
      <c r="AI178" s="87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54"/>
      <c r="BZ178" s="54"/>
      <c r="CI178" s="22"/>
      <c r="CJ178" s="23"/>
      <c r="CK178" s="23"/>
      <c r="CL178" s="11"/>
      <c r="CM178" s="11"/>
      <c r="CN178" s="11"/>
      <c r="CO178" s="11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</row>
    <row r="179" spans="1:121" hidden="1" outlineLevel="1">
      <c r="A179" s="22"/>
      <c r="B179" s="27"/>
      <c r="C179" s="22"/>
      <c r="D179" s="22"/>
      <c r="E179" s="3"/>
      <c r="F179" s="3"/>
      <c r="G179" s="22"/>
      <c r="H179" s="27"/>
      <c r="I179" s="27"/>
      <c r="J179" s="29"/>
      <c r="K179" s="29"/>
      <c r="L179" s="29"/>
      <c r="M179" s="29"/>
      <c r="N179" s="29"/>
      <c r="O179" s="29"/>
      <c r="P179" s="29"/>
      <c r="Q179" s="29"/>
      <c r="R179" s="32"/>
      <c r="S179" s="32"/>
      <c r="T179" s="29"/>
      <c r="U179" s="40"/>
      <c r="V179" s="40"/>
      <c r="W179" s="10"/>
      <c r="X179" s="80"/>
      <c r="Y179" s="80"/>
      <c r="Z179" s="31"/>
      <c r="AA179" s="31"/>
      <c r="AB179" s="31"/>
      <c r="AC179" s="31"/>
      <c r="AD179" s="32"/>
      <c r="AE179" s="33"/>
      <c r="AF179" s="33"/>
      <c r="AG179" s="33"/>
      <c r="AH179" s="33"/>
      <c r="AI179" s="87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54"/>
      <c r="BZ179" s="54"/>
      <c r="CI179" s="22"/>
      <c r="CJ179" s="23"/>
      <c r="CK179" s="23"/>
      <c r="CL179" s="11"/>
      <c r="CM179" s="11"/>
      <c r="CN179" s="11"/>
      <c r="CO179" s="11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</row>
    <row r="180" spans="1:121" hidden="1" outlineLevel="1">
      <c r="A180" s="22"/>
      <c r="B180" s="27"/>
      <c r="C180" s="22"/>
      <c r="D180" s="22"/>
      <c r="E180" s="3"/>
      <c r="F180" s="3"/>
      <c r="G180" s="22"/>
      <c r="H180" s="27"/>
      <c r="I180" s="27"/>
      <c r="J180" s="29"/>
      <c r="K180" s="29"/>
      <c r="L180" s="29"/>
      <c r="M180" s="29"/>
      <c r="N180" s="29"/>
      <c r="O180" s="29"/>
      <c r="P180" s="29"/>
      <c r="Q180" s="29"/>
      <c r="R180" s="32"/>
      <c r="S180" s="32"/>
      <c r="T180" s="29"/>
      <c r="U180" s="40"/>
      <c r="V180" s="40"/>
      <c r="W180" s="10"/>
      <c r="X180" s="80"/>
      <c r="Y180" s="80"/>
      <c r="Z180" s="31"/>
      <c r="AA180" s="31"/>
      <c r="AB180" s="31"/>
      <c r="AC180" s="31"/>
      <c r="AD180" s="32"/>
      <c r="AE180" s="33"/>
      <c r="AF180" s="33"/>
      <c r="AG180" s="33"/>
      <c r="AH180" s="33"/>
      <c r="AI180" s="87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54"/>
      <c r="BZ180" s="54"/>
      <c r="CI180" s="22"/>
      <c r="CJ180" s="23"/>
      <c r="CK180" s="23"/>
      <c r="CL180" s="11"/>
      <c r="CM180" s="11"/>
      <c r="CN180" s="11"/>
      <c r="CO180" s="11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</row>
    <row r="181" spans="1:121" hidden="1" outlineLevel="1">
      <c r="A181" s="22"/>
      <c r="B181" s="27"/>
      <c r="C181" s="22"/>
      <c r="D181" s="22"/>
      <c r="E181" s="3"/>
      <c r="F181" s="3"/>
      <c r="G181" s="22"/>
      <c r="H181" s="27"/>
      <c r="I181" s="27"/>
      <c r="J181" s="29"/>
      <c r="K181" s="29"/>
      <c r="L181" s="29"/>
      <c r="M181" s="29"/>
      <c r="N181" s="29"/>
      <c r="O181" s="29"/>
      <c r="P181" s="29"/>
      <c r="Q181" s="29"/>
      <c r="R181" s="32"/>
      <c r="S181" s="32"/>
      <c r="T181" s="29"/>
      <c r="U181" s="40"/>
      <c r="V181" s="40"/>
      <c r="W181" s="10"/>
      <c r="X181" s="80"/>
      <c r="Y181" s="80"/>
      <c r="Z181" s="31"/>
      <c r="AA181" s="31"/>
      <c r="AB181" s="31"/>
      <c r="AC181" s="31"/>
      <c r="AD181" s="32"/>
      <c r="AE181" s="33"/>
      <c r="AF181" s="33"/>
      <c r="AG181" s="33"/>
      <c r="AH181" s="33"/>
      <c r="AI181" s="87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54"/>
      <c r="BZ181" s="54"/>
      <c r="CI181" s="22"/>
      <c r="CJ181" s="23"/>
      <c r="CK181" s="23"/>
      <c r="CL181" s="11"/>
      <c r="CM181" s="11"/>
      <c r="CN181" s="11"/>
      <c r="CO181" s="11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</row>
    <row r="182" spans="1:121" hidden="1" outlineLevel="1">
      <c r="A182" s="22"/>
      <c r="B182" s="27"/>
      <c r="C182" s="22"/>
      <c r="D182" s="22"/>
      <c r="E182" s="3"/>
      <c r="F182" s="3"/>
      <c r="G182" s="22"/>
      <c r="H182" s="27"/>
      <c r="I182" s="27"/>
      <c r="J182" s="29"/>
      <c r="K182" s="29"/>
      <c r="L182" s="29"/>
      <c r="M182" s="29"/>
      <c r="N182" s="29"/>
      <c r="O182" s="29"/>
      <c r="P182" s="29"/>
      <c r="Q182" s="29"/>
      <c r="R182" s="32"/>
      <c r="S182" s="32"/>
      <c r="T182" s="29"/>
      <c r="U182" s="40"/>
      <c r="V182" s="40"/>
      <c r="W182" s="10"/>
      <c r="X182" s="80"/>
      <c r="Y182" s="80"/>
      <c r="Z182" s="31"/>
      <c r="AA182" s="31"/>
      <c r="AB182" s="31"/>
      <c r="AC182" s="31"/>
      <c r="AD182" s="32"/>
      <c r="AE182" s="33"/>
      <c r="AF182" s="33"/>
      <c r="AG182" s="33"/>
      <c r="AH182" s="33"/>
      <c r="AI182" s="87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54"/>
      <c r="BZ182" s="54"/>
      <c r="CI182" s="22"/>
      <c r="CJ182" s="23"/>
      <c r="CK182" s="23"/>
      <c r="CL182" s="11"/>
      <c r="CM182" s="11"/>
      <c r="CN182" s="11"/>
      <c r="CO182" s="11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</row>
    <row r="183" spans="1:121" hidden="1" outlineLevel="1">
      <c r="A183" s="22"/>
      <c r="B183" s="27"/>
      <c r="C183" s="22"/>
      <c r="D183" s="22"/>
      <c r="E183" s="3"/>
      <c r="F183" s="3"/>
      <c r="G183" s="22"/>
      <c r="H183" s="27"/>
      <c r="I183" s="27"/>
      <c r="J183" s="29"/>
      <c r="K183" s="29"/>
      <c r="L183" s="29"/>
      <c r="M183" s="29"/>
      <c r="N183" s="29"/>
      <c r="O183" s="29"/>
      <c r="P183" s="29"/>
      <c r="Q183" s="29"/>
      <c r="R183" s="32"/>
      <c r="S183" s="32"/>
      <c r="T183" s="29"/>
      <c r="U183" s="40"/>
      <c r="V183" s="40"/>
      <c r="W183" s="10"/>
      <c r="X183" s="80"/>
      <c r="Y183" s="80"/>
      <c r="Z183" s="31"/>
      <c r="AA183" s="31"/>
      <c r="AB183" s="31"/>
      <c r="AC183" s="31"/>
      <c r="AD183" s="32"/>
      <c r="AE183" s="33"/>
      <c r="AF183" s="33"/>
      <c r="AG183" s="33"/>
      <c r="AH183" s="33"/>
      <c r="AI183" s="87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54"/>
      <c r="BZ183" s="54"/>
      <c r="CI183" s="22"/>
      <c r="CJ183" s="23"/>
      <c r="CK183" s="23"/>
      <c r="CL183" s="11"/>
      <c r="CM183" s="11"/>
      <c r="CN183" s="11"/>
      <c r="CO183" s="11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</row>
    <row r="184" spans="1:121" hidden="1" outlineLevel="1">
      <c r="A184" s="22"/>
      <c r="B184" s="27"/>
      <c r="C184" s="22"/>
      <c r="D184" s="22"/>
      <c r="E184" s="3"/>
      <c r="F184" s="3"/>
      <c r="G184" s="22"/>
      <c r="H184" s="27"/>
      <c r="I184" s="27"/>
      <c r="J184" s="29"/>
      <c r="K184" s="29"/>
      <c r="L184" s="29"/>
      <c r="M184" s="29"/>
      <c r="N184" s="29"/>
      <c r="O184" s="29"/>
      <c r="P184" s="29"/>
      <c r="Q184" s="29"/>
      <c r="R184" s="32"/>
      <c r="S184" s="32"/>
      <c r="T184" s="29"/>
      <c r="U184" s="40"/>
      <c r="V184" s="40"/>
      <c r="W184" s="10"/>
      <c r="X184" s="80"/>
      <c r="Y184" s="80"/>
      <c r="Z184" s="31"/>
      <c r="AA184" s="31"/>
      <c r="AB184" s="31"/>
      <c r="AC184" s="31"/>
      <c r="AD184" s="32"/>
      <c r="AE184" s="33"/>
      <c r="AF184" s="33"/>
      <c r="AG184" s="33"/>
      <c r="AH184" s="33"/>
      <c r="AI184" s="87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54"/>
      <c r="BZ184" s="54"/>
      <c r="CI184" s="22"/>
      <c r="CJ184" s="23"/>
      <c r="CK184" s="23"/>
      <c r="CL184" s="11"/>
      <c r="CM184" s="11"/>
      <c r="CN184" s="11"/>
      <c r="CO184" s="11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</row>
    <row r="185" spans="1:121" hidden="1" outlineLevel="1">
      <c r="A185" s="22"/>
      <c r="B185" s="27"/>
      <c r="C185" s="22"/>
      <c r="D185" s="22"/>
      <c r="E185" s="3"/>
      <c r="F185" s="3"/>
      <c r="G185" s="22"/>
      <c r="H185" s="27"/>
      <c r="I185" s="27"/>
      <c r="J185" s="29"/>
      <c r="K185" s="29"/>
      <c r="L185" s="29"/>
      <c r="M185" s="29"/>
      <c r="N185" s="29"/>
      <c r="O185" s="29"/>
      <c r="P185" s="29"/>
      <c r="Q185" s="29"/>
      <c r="R185" s="32"/>
      <c r="S185" s="32"/>
      <c r="T185" s="29"/>
      <c r="U185" s="40"/>
      <c r="V185" s="40"/>
      <c r="W185" s="10"/>
      <c r="X185" s="80"/>
      <c r="Y185" s="80"/>
      <c r="Z185" s="31"/>
      <c r="AA185" s="31"/>
      <c r="AB185" s="31"/>
      <c r="AC185" s="31"/>
      <c r="AD185" s="32"/>
      <c r="AE185" s="33"/>
      <c r="AF185" s="33"/>
      <c r="AG185" s="33"/>
      <c r="AH185" s="33"/>
      <c r="AI185" s="87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54"/>
      <c r="BZ185" s="54"/>
      <c r="CI185" s="22"/>
      <c r="CJ185" s="23"/>
      <c r="CK185" s="23"/>
      <c r="CL185" s="11"/>
      <c r="CM185" s="11"/>
      <c r="CN185" s="11"/>
      <c r="CO185" s="11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</row>
    <row r="186" spans="1:121" hidden="1" outlineLevel="1">
      <c r="A186" s="22"/>
      <c r="B186" s="27"/>
      <c r="C186" s="22"/>
      <c r="D186" s="22"/>
      <c r="E186" s="3"/>
      <c r="F186" s="3"/>
      <c r="G186" s="22"/>
      <c r="H186" s="27"/>
      <c r="I186" s="27"/>
      <c r="J186" s="29"/>
      <c r="K186" s="29"/>
      <c r="L186" s="29"/>
      <c r="M186" s="29"/>
      <c r="N186" s="29"/>
      <c r="O186" s="29"/>
      <c r="P186" s="29"/>
      <c r="Q186" s="29"/>
      <c r="R186" s="32"/>
      <c r="S186" s="32"/>
      <c r="T186" s="29"/>
      <c r="U186" s="40"/>
      <c r="V186" s="40"/>
      <c r="W186" s="10"/>
      <c r="X186" s="80"/>
      <c r="Y186" s="80"/>
      <c r="Z186" s="31"/>
      <c r="AA186" s="31"/>
      <c r="AB186" s="31"/>
      <c r="AC186" s="31"/>
      <c r="AD186" s="32"/>
      <c r="AE186" s="33"/>
      <c r="AF186" s="33"/>
      <c r="AG186" s="33"/>
      <c r="AH186" s="33"/>
      <c r="AI186" s="87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54"/>
      <c r="BZ186" s="54"/>
      <c r="CI186" s="22"/>
      <c r="CJ186" s="23"/>
      <c r="CK186" s="23"/>
      <c r="CL186" s="11"/>
      <c r="CM186" s="11"/>
      <c r="CN186" s="11"/>
      <c r="CO186" s="11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</row>
    <row r="187" spans="1:121" hidden="1" outlineLevel="1">
      <c r="A187" s="22"/>
      <c r="B187" s="27"/>
      <c r="C187" s="22"/>
      <c r="D187" s="22"/>
      <c r="E187" s="3"/>
      <c r="F187" s="3"/>
      <c r="G187" s="22"/>
      <c r="H187" s="27"/>
      <c r="I187" s="27"/>
      <c r="J187" s="29"/>
      <c r="K187" s="29"/>
      <c r="L187" s="29"/>
      <c r="M187" s="29"/>
      <c r="N187" s="29"/>
      <c r="O187" s="29"/>
      <c r="P187" s="29"/>
      <c r="Q187" s="29"/>
      <c r="R187" s="32"/>
      <c r="S187" s="32"/>
      <c r="T187" s="29"/>
      <c r="U187" s="40"/>
      <c r="V187" s="40"/>
      <c r="W187" s="10"/>
      <c r="X187" s="80"/>
      <c r="Y187" s="80"/>
      <c r="Z187" s="31"/>
      <c r="AA187" s="31"/>
      <c r="AB187" s="31"/>
      <c r="AC187" s="31"/>
      <c r="AD187" s="32"/>
      <c r="AE187" s="33"/>
      <c r="AF187" s="33"/>
      <c r="AG187" s="33"/>
      <c r="AH187" s="33"/>
      <c r="AI187" s="87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54"/>
      <c r="BZ187" s="54"/>
      <c r="CI187" s="22"/>
      <c r="CJ187" s="23"/>
      <c r="CK187" s="23"/>
      <c r="CL187" s="11"/>
      <c r="CM187" s="11"/>
      <c r="CN187" s="11"/>
      <c r="CO187" s="11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</row>
    <row r="188" spans="1:121" hidden="1" outlineLevel="1">
      <c r="A188" s="22"/>
      <c r="B188" s="27"/>
      <c r="C188" s="22"/>
      <c r="D188" s="22"/>
      <c r="E188" s="3"/>
      <c r="F188" s="3"/>
      <c r="G188" s="22"/>
      <c r="H188" s="27"/>
      <c r="I188" s="27"/>
      <c r="J188" s="29"/>
      <c r="K188" s="29"/>
      <c r="L188" s="29"/>
      <c r="M188" s="29"/>
      <c r="N188" s="29"/>
      <c r="O188" s="29"/>
      <c r="P188" s="29"/>
      <c r="Q188" s="29"/>
      <c r="R188" s="32"/>
      <c r="S188" s="32"/>
      <c r="T188" s="29"/>
      <c r="U188" s="40"/>
      <c r="V188" s="40"/>
      <c r="W188" s="10"/>
      <c r="X188" s="80"/>
      <c r="Y188" s="80"/>
      <c r="Z188" s="31"/>
      <c r="AA188" s="31"/>
      <c r="AB188" s="31"/>
      <c r="AC188" s="31"/>
      <c r="AD188" s="32"/>
      <c r="AE188" s="33"/>
      <c r="AF188" s="33"/>
      <c r="AG188" s="33"/>
      <c r="AH188" s="33"/>
      <c r="AI188" s="87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54"/>
      <c r="BZ188" s="54"/>
      <c r="CI188" s="22"/>
      <c r="CJ188" s="23"/>
      <c r="CK188" s="23"/>
      <c r="CL188" s="11"/>
      <c r="CM188" s="11"/>
      <c r="CN188" s="11"/>
      <c r="CO188" s="11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</row>
    <row r="189" spans="1:121" hidden="1" outlineLevel="1">
      <c r="A189" s="22"/>
      <c r="B189" s="27"/>
      <c r="C189" s="22"/>
      <c r="D189" s="22"/>
      <c r="E189" s="3"/>
      <c r="F189" s="3"/>
      <c r="G189" s="22"/>
      <c r="H189" s="27"/>
      <c r="I189" s="27"/>
      <c r="J189" s="29"/>
      <c r="K189" s="29"/>
      <c r="L189" s="29"/>
      <c r="M189" s="29"/>
      <c r="N189" s="29"/>
      <c r="O189" s="29"/>
      <c r="P189" s="29"/>
      <c r="Q189" s="29"/>
      <c r="R189" s="32"/>
      <c r="S189" s="32"/>
      <c r="T189" s="29"/>
      <c r="U189" s="40"/>
      <c r="V189" s="40"/>
      <c r="W189" s="10"/>
      <c r="X189" s="80"/>
      <c r="Y189" s="80"/>
      <c r="Z189" s="31"/>
      <c r="AA189" s="31"/>
      <c r="AB189" s="31"/>
      <c r="AC189" s="31"/>
      <c r="AD189" s="32"/>
      <c r="AE189" s="33"/>
      <c r="AF189" s="33"/>
      <c r="AG189" s="33"/>
      <c r="AH189" s="33"/>
      <c r="AI189" s="87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54"/>
      <c r="BZ189" s="54"/>
      <c r="CI189" s="22"/>
      <c r="CJ189" s="23"/>
      <c r="CK189" s="23"/>
      <c r="CL189" s="11"/>
      <c r="CM189" s="11"/>
      <c r="CN189" s="11"/>
      <c r="CO189" s="11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</row>
    <row r="190" spans="1:121" hidden="1" outlineLevel="1">
      <c r="A190" s="22"/>
      <c r="B190" s="27"/>
      <c r="C190" s="22"/>
      <c r="D190" s="22"/>
      <c r="E190" s="3"/>
      <c r="F190" s="3"/>
      <c r="G190" s="22"/>
      <c r="H190" s="27"/>
      <c r="I190" s="27"/>
      <c r="J190" s="29"/>
      <c r="K190" s="29"/>
      <c r="L190" s="29"/>
      <c r="M190" s="29"/>
      <c r="N190" s="29"/>
      <c r="O190" s="29"/>
      <c r="P190" s="29"/>
      <c r="Q190" s="29"/>
      <c r="R190" s="32"/>
      <c r="S190" s="32"/>
      <c r="T190" s="29"/>
      <c r="U190" s="40"/>
      <c r="V190" s="40"/>
      <c r="W190" s="10"/>
      <c r="X190" s="80"/>
      <c r="Y190" s="80"/>
      <c r="Z190" s="31"/>
      <c r="AA190" s="31"/>
      <c r="AB190" s="31"/>
      <c r="AC190" s="31"/>
      <c r="AD190" s="32"/>
      <c r="AE190" s="33"/>
      <c r="AF190" s="33"/>
      <c r="AG190" s="33"/>
      <c r="AH190" s="33"/>
      <c r="AI190" s="87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54"/>
      <c r="BZ190" s="54"/>
      <c r="CI190" s="22"/>
      <c r="CJ190" s="23"/>
      <c r="CK190" s="23"/>
      <c r="CL190" s="11"/>
      <c r="CM190" s="11"/>
      <c r="CN190" s="11"/>
      <c r="CO190" s="11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</row>
    <row r="191" spans="1:121" hidden="1" outlineLevel="1">
      <c r="A191" s="22"/>
      <c r="B191" s="27"/>
      <c r="C191" s="22"/>
      <c r="D191" s="22"/>
      <c r="E191" s="3"/>
      <c r="F191" s="3"/>
      <c r="G191" s="22"/>
      <c r="H191" s="27"/>
      <c r="I191" s="27"/>
      <c r="J191" s="29"/>
      <c r="K191" s="29"/>
      <c r="L191" s="29"/>
      <c r="M191" s="29"/>
      <c r="N191" s="29"/>
      <c r="O191" s="29"/>
      <c r="P191" s="29"/>
      <c r="Q191" s="29"/>
      <c r="R191" s="32"/>
      <c r="S191" s="32"/>
      <c r="T191" s="29"/>
      <c r="U191" s="40"/>
      <c r="V191" s="40"/>
      <c r="W191" s="10"/>
      <c r="X191" s="80"/>
      <c r="Y191" s="80"/>
      <c r="Z191" s="31"/>
      <c r="AA191" s="31"/>
      <c r="AB191" s="31"/>
      <c r="AC191" s="31"/>
      <c r="AD191" s="32"/>
      <c r="AE191" s="33"/>
      <c r="AF191" s="33"/>
      <c r="AG191" s="33"/>
      <c r="AH191" s="33"/>
      <c r="AI191" s="87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54"/>
      <c r="BZ191" s="54"/>
      <c r="CI191" s="22"/>
      <c r="CJ191" s="23"/>
      <c r="CK191" s="23"/>
      <c r="CL191" s="11"/>
      <c r="CM191" s="11"/>
      <c r="CN191" s="11"/>
      <c r="CO191" s="11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</row>
    <row r="192" spans="1:121" hidden="1" outlineLevel="1">
      <c r="A192" s="22"/>
      <c r="B192" s="27"/>
      <c r="C192" s="22"/>
      <c r="D192" s="22"/>
      <c r="E192" s="3"/>
      <c r="F192" s="3"/>
      <c r="G192" s="22"/>
      <c r="H192" s="27"/>
      <c r="I192" s="27"/>
      <c r="J192" s="29"/>
      <c r="K192" s="29"/>
      <c r="L192" s="29"/>
      <c r="M192" s="29"/>
      <c r="N192" s="29"/>
      <c r="O192" s="29"/>
      <c r="P192" s="29"/>
      <c r="Q192" s="29"/>
      <c r="R192" s="32"/>
      <c r="S192" s="32"/>
      <c r="T192" s="29"/>
      <c r="U192" s="40"/>
      <c r="V192" s="40"/>
      <c r="W192" s="10"/>
      <c r="X192" s="80"/>
      <c r="Y192" s="80"/>
      <c r="Z192" s="31"/>
      <c r="AA192" s="31"/>
      <c r="AB192" s="31"/>
      <c r="AC192" s="31"/>
      <c r="AD192" s="32"/>
      <c r="AE192" s="33"/>
      <c r="AF192" s="33"/>
      <c r="AG192" s="33"/>
      <c r="AH192" s="33"/>
      <c r="AI192" s="87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54"/>
      <c r="BZ192" s="54"/>
      <c r="CI192" s="22"/>
      <c r="CJ192" s="23"/>
      <c r="CK192" s="23"/>
      <c r="CL192" s="11"/>
      <c r="CM192" s="11"/>
      <c r="CN192" s="11"/>
      <c r="CO192" s="11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</row>
    <row r="193" spans="1:121" hidden="1" outlineLevel="1">
      <c r="A193" s="22"/>
      <c r="B193" s="27"/>
      <c r="C193" s="22"/>
      <c r="D193" s="22"/>
      <c r="E193" s="3"/>
      <c r="F193" s="3"/>
      <c r="G193" s="22"/>
      <c r="H193" s="27"/>
      <c r="I193" s="27"/>
      <c r="J193" s="29"/>
      <c r="K193" s="29"/>
      <c r="L193" s="29"/>
      <c r="M193" s="29"/>
      <c r="N193" s="29"/>
      <c r="O193" s="29"/>
      <c r="P193" s="29"/>
      <c r="Q193" s="29"/>
      <c r="R193" s="32"/>
      <c r="S193" s="32"/>
      <c r="T193" s="29"/>
      <c r="U193" s="40"/>
      <c r="V193" s="40"/>
      <c r="W193" s="10"/>
      <c r="X193" s="80"/>
      <c r="Y193" s="80"/>
      <c r="Z193" s="31"/>
      <c r="AA193" s="31"/>
      <c r="AB193" s="31"/>
      <c r="AC193" s="31"/>
      <c r="AD193" s="32"/>
      <c r="AE193" s="33"/>
      <c r="AF193" s="33"/>
      <c r="AG193" s="33"/>
      <c r="AH193" s="33"/>
      <c r="AI193" s="87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54"/>
      <c r="BZ193" s="54"/>
      <c r="CI193" s="22"/>
      <c r="CJ193" s="23"/>
      <c r="CK193" s="23"/>
      <c r="CL193" s="11"/>
      <c r="CM193" s="11"/>
      <c r="CN193" s="11"/>
      <c r="CO193" s="11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</row>
    <row r="194" spans="1:121" hidden="1" outlineLevel="1">
      <c r="A194" s="22"/>
      <c r="B194" s="27"/>
      <c r="C194" s="22"/>
      <c r="D194" s="22"/>
      <c r="E194" s="3"/>
      <c r="F194" s="3"/>
      <c r="G194" s="22"/>
      <c r="H194" s="27"/>
      <c r="I194" s="27"/>
      <c r="J194" s="29"/>
      <c r="K194" s="29"/>
      <c r="L194" s="29"/>
      <c r="M194" s="29"/>
      <c r="N194" s="29"/>
      <c r="O194" s="29"/>
      <c r="P194" s="29"/>
      <c r="Q194" s="29"/>
      <c r="R194" s="32"/>
      <c r="S194" s="32"/>
      <c r="T194" s="29"/>
      <c r="U194" s="40"/>
      <c r="V194" s="40"/>
      <c r="W194" s="10"/>
      <c r="X194" s="80"/>
      <c r="Y194" s="80"/>
      <c r="Z194" s="31"/>
      <c r="AA194" s="31"/>
      <c r="AB194" s="31"/>
      <c r="AC194" s="31"/>
      <c r="AD194" s="32"/>
      <c r="AE194" s="33"/>
      <c r="AF194" s="33"/>
      <c r="AG194" s="33"/>
      <c r="AH194" s="33"/>
      <c r="AI194" s="87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54"/>
      <c r="BZ194" s="54"/>
      <c r="CI194" s="22"/>
      <c r="CJ194" s="23"/>
      <c r="CK194" s="23"/>
      <c r="CL194" s="11"/>
      <c r="CM194" s="11"/>
      <c r="CN194" s="11"/>
      <c r="CO194" s="11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</row>
    <row r="195" spans="1:121" hidden="1" outlineLevel="1">
      <c r="A195" s="22"/>
      <c r="B195" s="27"/>
      <c r="C195" s="22"/>
      <c r="D195" s="22"/>
      <c r="E195" s="3"/>
      <c r="F195" s="3"/>
      <c r="G195" s="22"/>
      <c r="H195" s="27"/>
      <c r="I195" s="27"/>
      <c r="J195" s="29"/>
      <c r="K195" s="29"/>
      <c r="L195" s="29"/>
      <c r="M195" s="29"/>
      <c r="N195" s="29"/>
      <c r="O195" s="29"/>
      <c r="P195" s="29"/>
      <c r="Q195" s="29"/>
      <c r="R195" s="32"/>
      <c r="S195" s="32"/>
      <c r="T195" s="29"/>
      <c r="U195" s="40"/>
      <c r="V195" s="40"/>
      <c r="W195" s="10"/>
      <c r="X195" s="80"/>
      <c r="Y195" s="80"/>
      <c r="Z195" s="31"/>
      <c r="AA195" s="31"/>
      <c r="AB195" s="31"/>
      <c r="AC195" s="31"/>
      <c r="AD195" s="32"/>
      <c r="AE195" s="33"/>
      <c r="AF195" s="33"/>
      <c r="AG195" s="33"/>
      <c r="AH195" s="33"/>
      <c r="AI195" s="87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54"/>
      <c r="BZ195" s="54"/>
      <c r="CI195" s="22"/>
      <c r="CJ195" s="23"/>
      <c r="CK195" s="23"/>
      <c r="CL195" s="11"/>
      <c r="CM195" s="11"/>
      <c r="CN195" s="11"/>
      <c r="CO195" s="11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</row>
    <row r="196" spans="1:121" hidden="1" outlineLevel="1">
      <c r="A196" s="22"/>
      <c r="B196" s="27"/>
      <c r="C196" s="22"/>
      <c r="D196" s="22"/>
      <c r="E196" s="3"/>
      <c r="F196" s="3"/>
      <c r="G196" s="22"/>
      <c r="H196" s="27"/>
      <c r="I196" s="27"/>
      <c r="J196" s="29"/>
      <c r="K196" s="29"/>
      <c r="L196" s="29"/>
      <c r="M196" s="29"/>
      <c r="N196" s="29"/>
      <c r="O196" s="29"/>
      <c r="P196" s="29"/>
      <c r="Q196" s="29"/>
      <c r="R196" s="32"/>
      <c r="S196" s="32"/>
      <c r="T196" s="29"/>
      <c r="U196" s="40"/>
      <c r="V196" s="40"/>
      <c r="W196" s="10"/>
      <c r="X196" s="80"/>
      <c r="Y196" s="80"/>
      <c r="Z196" s="31"/>
      <c r="AA196" s="31"/>
      <c r="AB196" s="31"/>
      <c r="AC196" s="31"/>
      <c r="AD196" s="32"/>
      <c r="AE196" s="33"/>
      <c r="AF196" s="33"/>
      <c r="AG196" s="33"/>
      <c r="AH196" s="33"/>
      <c r="AI196" s="87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54"/>
      <c r="BZ196" s="54"/>
      <c r="CI196" s="22"/>
      <c r="CJ196" s="23"/>
      <c r="CK196" s="23"/>
      <c r="CL196" s="11"/>
      <c r="CM196" s="11"/>
      <c r="CN196" s="11"/>
      <c r="CO196" s="11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</row>
    <row r="197" spans="1:121" hidden="1" outlineLevel="1">
      <c r="A197" s="22"/>
      <c r="B197" s="27"/>
      <c r="C197" s="22"/>
      <c r="D197" s="22"/>
      <c r="E197" s="3"/>
      <c r="F197" s="3"/>
      <c r="G197" s="22"/>
      <c r="H197" s="27"/>
      <c r="I197" s="27"/>
      <c r="J197" s="29"/>
      <c r="K197" s="29"/>
      <c r="L197" s="29"/>
      <c r="M197" s="29"/>
      <c r="N197" s="29"/>
      <c r="O197" s="29"/>
      <c r="P197" s="29"/>
      <c r="Q197" s="29"/>
      <c r="R197" s="32"/>
      <c r="S197" s="32"/>
      <c r="T197" s="29"/>
      <c r="U197" s="40"/>
      <c r="V197" s="40"/>
      <c r="W197" s="10"/>
      <c r="X197" s="80"/>
      <c r="Y197" s="80"/>
      <c r="Z197" s="31"/>
      <c r="AA197" s="31"/>
      <c r="AB197" s="31"/>
      <c r="AC197" s="31"/>
      <c r="AD197" s="32"/>
      <c r="AE197" s="33"/>
      <c r="AF197" s="33"/>
      <c r="AG197" s="33"/>
      <c r="AH197" s="33"/>
      <c r="AI197" s="87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54"/>
      <c r="BZ197" s="54"/>
      <c r="CI197" s="22"/>
      <c r="CJ197" s="23"/>
      <c r="CK197" s="23"/>
      <c r="CL197" s="11"/>
      <c r="CM197" s="11"/>
      <c r="CN197" s="11"/>
      <c r="CO197" s="11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</row>
    <row r="198" spans="1:121" hidden="1" outlineLevel="1">
      <c r="A198" s="22"/>
      <c r="B198" s="27"/>
      <c r="C198" s="22"/>
      <c r="D198" s="22"/>
      <c r="E198" s="3"/>
      <c r="F198" s="3"/>
      <c r="G198" s="22"/>
      <c r="H198" s="27"/>
      <c r="I198" s="27"/>
      <c r="J198" s="29"/>
      <c r="K198" s="29"/>
      <c r="L198" s="29"/>
      <c r="M198" s="29"/>
      <c r="N198" s="29"/>
      <c r="O198" s="29"/>
      <c r="P198" s="29"/>
      <c r="Q198" s="29"/>
      <c r="R198" s="32"/>
      <c r="S198" s="32"/>
      <c r="T198" s="29"/>
      <c r="U198" s="40"/>
      <c r="V198" s="40"/>
      <c r="W198" s="10"/>
      <c r="X198" s="80"/>
      <c r="Y198" s="80"/>
      <c r="Z198" s="31"/>
      <c r="AA198" s="31"/>
      <c r="AB198" s="31"/>
      <c r="AC198" s="31"/>
      <c r="AD198" s="32"/>
      <c r="AE198" s="33"/>
      <c r="AF198" s="33"/>
      <c r="AG198" s="33"/>
      <c r="AH198" s="33"/>
      <c r="AI198" s="87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54"/>
      <c r="BZ198" s="54"/>
      <c r="CI198" s="22"/>
      <c r="CJ198" s="23"/>
      <c r="CK198" s="23"/>
      <c r="CL198" s="11"/>
      <c r="CM198" s="11"/>
      <c r="CN198" s="11"/>
      <c r="CO198" s="11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</row>
    <row r="199" spans="1:121" hidden="1" outlineLevel="1">
      <c r="A199" s="22"/>
      <c r="B199" s="27"/>
      <c r="C199" s="22"/>
      <c r="D199" s="22"/>
      <c r="E199" s="3"/>
      <c r="F199" s="3"/>
      <c r="G199" s="22"/>
      <c r="H199" s="27"/>
      <c r="I199" s="27"/>
      <c r="J199" s="29"/>
      <c r="K199" s="29"/>
      <c r="L199" s="29"/>
      <c r="M199" s="29"/>
      <c r="N199" s="29"/>
      <c r="O199" s="29"/>
      <c r="P199" s="29"/>
      <c r="Q199" s="29"/>
      <c r="R199" s="32"/>
      <c r="S199" s="32"/>
      <c r="T199" s="29"/>
      <c r="U199" s="40"/>
      <c r="V199" s="40"/>
      <c r="W199" s="10"/>
      <c r="X199" s="80"/>
      <c r="Y199" s="80"/>
      <c r="Z199" s="31"/>
      <c r="AA199" s="31"/>
      <c r="AB199" s="31"/>
      <c r="AC199" s="31"/>
      <c r="AD199" s="32"/>
      <c r="AE199" s="33"/>
      <c r="AF199" s="33"/>
      <c r="AG199" s="33"/>
      <c r="AH199" s="33"/>
      <c r="AI199" s="87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54"/>
      <c r="BZ199" s="54"/>
      <c r="CI199" s="22"/>
      <c r="CJ199" s="23"/>
      <c r="CK199" s="23"/>
      <c r="CL199" s="11"/>
      <c r="CM199" s="11"/>
      <c r="CN199" s="11"/>
      <c r="CO199" s="11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</row>
    <row r="200" spans="1:121" hidden="1" outlineLevel="1">
      <c r="A200" s="22"/>
      <c r="B200" s="27"/>
      <c r="C200" s="22"/>
      <c r="D200" s="22"/>
      <c r="E200" s="3"/>
      <c r="F200" s="3"/>
      <c r="G200" s="22"/>
      <c r="H200" s="27"/>
      <c r="I200" s="27"/>
      <c r="J200" s="29"/>
      <c r="K200" s="29"/>
      <c r="L200" s="29"/>
      <c r="M200" s="29"/>
      <c r="N200" s="29"/>
      <c r="O200" s="29"/>
      <c r="P200" s="29"/>
      <c r="Q200" s="29"/>
      <c r="R200" s="32"/>
      <c r="S200" s="32"/>
      <c r="T200" s="29"/>
      <c r="U200" s="40"/>
      <c r="V200" s="40"/>
      <c r="W200" s="10"/>
      <c r="X200" s="80"/>
      <c r="Y200" s="80"/>
      <c r="Z200" s="31"/>
      <c r="AA200" s="31"/>
      <c r="AB200" s="31"/>
      <c r="AC200" s="31"/>
      <c r="AD200" s="32"/>
      <c r="AE200" s="33"/>
      <c r="AF200" s="33"/>
      <c r="AG200" s="33"/>
      <c r="AH200" s="33"/>
      <c r="AI200" s="87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54"/>
      <c r="BZ200" s="54"/>
      <c r="CI200" s="22"/>
      <c r="CJ200" s="23"/>
      <c r="CK200" s="23"/>
      <c r="CL200" s="11"/>
      <c r="CM200" s="11"/>
      <c r="CN200" s="11"/>
      <c r="CO200" s="11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</row>
    <row r="201" spans="1:121" hidden="1" outlineLevel="1">
      <c r="A201" s="22"/>
      <c r="B201" s="27"/>
      <c r="C201" s="22"/>
      <c r="D201" s="22"/>
      <c r="E201" s="3"/>
      <c r="F201" s="3"/>
      <c r="G201" s="22"/>
      <c r="H201" s="27"/>
      <c r="I201" s="27"/>
      <c r="J201" s="29"/>
      <c r="K201" s="29"/>
      <c r="L201" s="29"/>
      <c r="M201" s="29"/>
      <c r="N201" s="29"/>
      <c r="O201" s="29"/>
      <c r="P201" s="29"/>
      <c r="Q201" s="29"/>
      <c r="R201" s="32"/>
      <c r="S201" s="32"/>
      <c r="T201" s="29"/>
      <c r="U201" s="40"/>
      <c r="V201" s="40"/>
      <c r="W201" s="10"/>
      <c r="X201" s="80"/>
      <c r="Y201" s="80"/>
      <c r="Z201" s="31"/>
      <c r="AA201" s="31"/>
      <c r="AB201" s="31"/>
      <c r="AC201" s="31"/>
      <c r="AD201" s="32"/>
      <c r="AE201" s="33"/>
      <c r="AF201" s="33"/>
      <c r="AG201" s="33"/>
      <c r="AH201" s="33"/>
      <c r="AI201" s="87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54"/>
      <c r="BZ201" s="54"/>
      <c r="CI201" s="22"/>
      <c r="CJ201" s="23"/>
      <c r="CK201" s="23"/>
      <c r="CL201" s="11"/>
      <c r="CM201" s="11"/>
      <c r="CN201" s="11"/>
      <c r="CO201" s="11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</row>
    <row r="202" spans="1:121" hidden="1" outlineLevel="1">
      <c r="A202" s="22"/>
      <c r="B202" s="27"/>
      <c r="C202" s="22"/>
      <c r="D202" s="22"/>
      <c r="E202" s="3"/>
      <c r="F202" s="3"/>
      <c r="G202" s="22"/>
      <c r="H202" s="27"/>
      <c r="I202" s="27"/>
      <c r="J202" s="29"/>
      <c r="K202" s="29"/>
      <c r="L202" s="29"/>
      <c r="M202" s="29"/>
      <c r="N202" s="29"/>
      <c r="O202" s="29"/>
      <c r="P202" s="29"/>
      <c r="Q202" s="29"/>
      <c r="R202" s="32"/>
      <c r="S202" s="32"/>
      <c r="T202" s="29"/>
      <c r="U202" s="40"/>
      <c r="V202" s="40"/>
      <c r="W202" s="10"/>
      <c r="X202" s="80"/>
      <c r="Y202" s="80"/>
      <c r="Z202" s="31"/>
      <c r="AA202" s="31"/>
      <c r="AB202" s="31"/>
      <c r="AC202" s="31"/>
      <c r="AD202" s="32"/>
      <c r="AE202" s="33"/>
      <c r="AF202" s="33"/>
      <c r="AG202" s="33"/>
      <c r="AH202" s="33"/>
      <c r="AI202" s="87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54"/>
      <c r="BZ202" s="54"/>
      <c r="CI202" s="22"/>
      <c r="CJ202" s="23"/>
      <c r="CK202" s="23"/>
      <c r="CL202" s="11"/>
      <c r="CM202" s="11"/>
      <c r="CN202" s="11"/>
      <c r="CO202" s="11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</row>
    <row r="203" spans="1:121" hidden="1" outlineLevel="1">
      <c r="A203" s="22"/>
      <c r="B203" s="27"/>
      <c r="C203" s="22"/>
      <c r="D203" s="22"/>
      <c r="E203" s="3"/>
      <c r="F203" s="3"/>
      <c r="G203" s="22"/>
      <c r="H203" s="27"/>
      <c r="I203" s="27"/>
      <c r="J203" s="29"/>
      <c r="K203" s="29"/>
      <c r="L203" s="29"/>
      <c r="M203" s="29"/>
      <c r="N203" s="29"/>
      <c r="O203" s="29"/>
      <c r="P203" s="29"/>
      <c r="Q203" s="29"/>
      <c r="R203" s="32"/>
      <c r="S203" s="32"/>
      <c r="T203" s="29"/>
      <c r="U203" s="40"/>
      <c r="V203" s="40"/>
      <c r="W203" s="10"/>
      <c r="X203" s="80"/>
      <c r="Y203" s="80"/>
      <c r="Z203" s="31"/>
      <c r="AA203" s="31"/>
      <c r="AB203" s="31"/>
      <c r="AC203" s="31"/>
      <c r="AD203" s="32"/>
      <c r="AE203" s="33"/>
      <c r="AF203" s="33"/>
      <c r="AG203" s="33"/>
      <c r="AH203" s="33"/>
      <c r="AI203" s="87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54"/>
      <c r="BZ203" s="54"/>
      <c r="CI203" s="22"/>
      <c r="CJ203" s="23"/>
      <c r="CK203" s="23"/>
      <c r="CL203" s="11"/>
      <c r="CM203" s="11"/>
      <c r="CN203" s="11"/>
      <c r="CO203" s="11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</row>
    <row r="204" spans="1:121" hidden="1" outlineLevel="1">
      <c r="A204" s="22"/>
      <c r="B204" s="27"/>
      <c r="C204" s="22"/>
      <c r="D204" s="22"/>
      <c r="E204" s="3"/>
      <c r="F204" s="3"/>
      <c r="G204" s="22"/>
      <c r="H204" s="27"/>
      <c r="I204" s="27"/>
      <c r="J204" s="29"/>
      <c r="K204" s="29"/>
      <c r="L204" s="29"/>
      <c r="M204" s="29"/>
      <c r="N204" s="29"/>
      <c r="O204" s="29"/>
      <c r="P204" s="29"/>
      <c r="Q204" s="29"/>
      <c r="R204" s="32"/>
      <c r="S204" s="32"/>
      <c r="T204" s="29"/>
      <c r="U204" s="40"/>
      <c r="V204" s="40"/>
      <c r="W204" s="10"/>
      <c r="X204" s="80"/>
      <c r="Y204" s="80"/>
      <c r="Z204" s="31"/>
      <c r="AA204" s="31"/>
      <c r="AB204" s="31"/>
      <c r="AC204" s="31"/>
      <c r="AD204" s="32"/>
      <c r="AE204" s="33"/>
      <c r="AF204" s="33"/>
      <c r="AG204" s="33"/>
      <c r="AH204" s="33"/>
      <c r="AI204" s="87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54"/>
      <c r="BZ204" s="54"/>
      <c r="CI204" s="22"/>
      <c r="CJ204" s="23"/>
      <c r="CK204" s="23"/>
      <c r="CL204" s="11"/>
      <c r="CM204" s="11"/>
      <c r="CN204" s="11"/>
      <c r="CO204" s="11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</row>
    <row r="205" spans="1:121" hidden="1" outlineLevel="1">
      <c r="A205" s="22"/>
      <c r="B205" s="27"/>
      <c r="C205" s="22"/>
      <c r="D205" s="22"/>
      <c r="E205" s="3"/>
      <c r="F205" s="3"/>
      <c r="G205" s="22"/>
      <c r="H205" s="27"/>
      <c r="I205" s="27"/>
      <c r="J205" s="29"/>
      <c r="K205" s="29"/>
      <c r="L205" s="29"/>
      <c r="M205" s="29"/>
      <c r="N205" s="29"/>
      <c r="O205" s="29"/>
      <c r="P205" s="29"/>
      <c r="Q205" s="29"/>
      <c r="R205" s="32"/>
      <c r="S205" s="32"/>
      <c r="T205" s="29"/>
      <c r="U205" s="40"/>
      <c r="V205" s="40"/>
      <c r="W205" s="10"/>
      <c r="X205" s="80"/>
      <c r="Y205" s="80"/>
      <c r="Z205" s="31"/>
      <c r="AA205" s="31"/>
      <c r="AB205" s="31"/>
      <c r="AC205" s="31"/>
      <c r="AD205" s="32"/>
      <c r="AE205" s="33"/>
      <c r="AF205" s="33"/>
      <c r="AG205" s="33"/>
      <c r="AH205" s="33"/>
      <c r="AI205" s="87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54"/>
      <c r="BZ205" s="54"/>
      <c r="CI205" s="22"/>
      <c r="CJ205" s="23"/>
      <c r="CK205" s="23"/>
      <c r="CL205" s="11"/>
      <c r="CM205" s="11"/>
      <c r="CN205" s="11"/>
      <c r="CO205" s="11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</row>
    <row r="206" spans="1:121" hidden="1" outlineLevel="1">
      <c r="A206" s="22"/>
      <c r="B206" s="27"/>
      <c r="C206" s="22"/>
      <c r="D206" s="22"/>
      <c r="E206" s="3"/>
      <c r="F206" s="3"/>
      <c r="G206" s="22"/>
      <c r="H206" s="27"/>
      <c r="I206" s="27"/>
      <c r="J206" s="29"/>
      <c r="K206" s="29"/>
      <c r="L206" s="29"/>
      <c r="M206" s="29"/>
      <c r="N206" s="29"/>
      <c r="O206" s="29"/>
      <c r="P206" s="29"/>
      <c r="Q206" s="29"/>
      <c r="R206" s="32"/>
      <c r="S206" s="32"/>
      <c r="T206" s="29"/>
      <c r="U206" s="40"/>
      <c r="V206" s="40"/>
      <c r="W206" s="10"/>
      <c r="X206" s="80"/>
      <c r="Y206" s="80"/>
      <c r="Z206" s="31"/>
      <c r="AA206" s="31"/>
      <c r="AB206" s="31"/>
      <c r="AC206" s="31"/>
      <c r="AD206" s="32"/>
      <c r="AE206" s="33"/>
      <c r="AF206" s="33"/>
      <c r="AG206" s="33"/>
      <c r="AH206" s="33"/>
      <c r="AI206" s="87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54"/>
      <c r="BZ206" s="54"/>
      <c r="CI206" s="22"/>
      <c r="CJ206" s="23"/>
      <c r="CK206" s="23"/>
      <c r="CL206" s="11"/>
      <c r="CM206" s="11"/>
      <c r="CN206" s="11"/>
      <c r="CO206" s="11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</row>
    <row r="207" spans="1:121" hidden="1" outlineLevel="1">
      <c r="A207" s="22"/>
      <c r="B207" s="27"/>
      <c r="C207" s="22"/>
      <c r="D207" s="22"/>
      <c r="E207" s="3"/>
      <c r="F207" s="3"/>
      <c r="G207" s="22"/>
      <c r="H207" s="27"/>
      <c r="I207" s="27"/>
      <c r="J207" s="29"/>
      <c r="K207" s="29"/>
      <c r="L207" s="29"/>
      <c r="M207" s="29"/>
      <c r="N207" s="29"/>
      <c r="O207" s="29"/>
      <c r="P207" s="29"/>
      <c r="Q207" s="29"/>
      <c r="R207" s="32"/>
      <c r="S207" s="32"/>
      <c r="T207" s="29"/>
      <c r="U207" s="40"/>
      <c r="V207" s="40"/>
      <c r="W207" s="10"/>
      <c r="X207" s="80"/>
      <c r="Y207" s="80"/>
      <c r="Z207" s="31"/>
      <c r="AA207" s="31"/>
      <c r="AB207" s="31"/>
      <c r="AC207" s="31"/>
      <c r="AD207" s="32"/>
      <c r="AE207" s="33"/>
      <c r="AF207" s="33"/>
      <c r="AG207" s="33"/>
      <c r="AH207" s="33"/>
      <c r="AI207" s="87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54"/>
      <c r="BZ207" s="54"/>
      <c r="CI207" s="22"/>
      <c r="CJ207" s="23"/>
      <c r="CK207" s="23"/>
      <c r="CL207" s="11"/>
      <c r="CM207" s="11"/>
      <c r="CN207" s="11"/>
      <c r="CO207" s="11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</row>
    <row r="208" spans="1:121" hidden="1" outlineLevel="1">
      <c r="A208" s="22"/>
      <c r="B208" s="27"/>
      <c r="C208" s="22"/>
      <c r="D208" s="22"/>
      <c r="E208" s="3"/>
      <c r="F208" s="3"/>
      <c r="G208" s="22"/>
      <c r="H208" s="27"/>
      <c r="I208" s="27"/>
      <c r="J208" s="29"/>
      <c r="K208" s="29"/>
      <c r="L208" s="29"/>
      <c r="M208" s="29"/>
      <c r="N208" s="29"/>
      <c r="O208" s="29"/>
      <c r="P208" s="29"/>
      <c r="Q208" s="29"/>
      <c r="R208" s="32"/>
      <c r="S208" s="32"/>
      <c r="T208" s="29"/>
      <c r="U208" s="40"/>
      <c r="V208" s="40"/>
      <c r="W208" s="10"/>
      <c r="X208" s="80"/>
      <c r="Y208" s="80"/>
      <c r="Z208" s="31"/>
      <c r="AA208" s="31"/>
      <c r="AB208" s="31"/>
      <c r="AC208" s="31"/>
      <c r="AD208" s="32"/>
      <c r="AE208" s="33"/>
      <c r="AF208" s="33"/>
      <c r="AG208" s="33"/>
      <c r="AH208" s="33"/>
      <c r="AI208" s="87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54"/>
      <c r="BZ208" s="54"/>
      <c r="CI208" s="22"/>
      <c r="CJ208" s="23"/>
      <c r="CK208" s="23"/>
      <c r="CL208" s="11"/>
      <c r="CM208" s="11"/>
      <c r="CN208" s="11"/>
      <c r="CO208" s="11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</row>
    <row r="209" spans="1:121" hidden="1" outlineLevel="1">
      <c r="A209" s="22"/>
      <c r="B209" s="27"/>
      <c r="C209" s="22"/>
      <c r="D209" s="22"/>
      <c r="E209" s="3"/>
      <c r="F209" s="3"/>
      <c r="G209" s="22"/>
      <c r="H209" s="27"/>
      <c r="I209" s="27"/>
      <c r="J209" s="29"/>
      <c r="K209" s="29"/>
      <c r="L209" s="29"/>
      <c r="M209" s="29"/>
      <c r="N209" s="29"/>
      <c r="O209" s="29"/>
      <c r="P209" s="29"/>
      <c r="Q209" s="29"/>
      <c r="R209" s="32"/>
      <c r="S209" s="32"/>
      <c r="T209" s="29"/>
      <c r="U209" s="40"/>
      <c r="V209" s="40"/>
      <c r="W209" s="10"/>
      <c r="X209" s="80"/>
      <c r="Y209" s="80"/>
      <c r="Z209" s="31"/>
      <c r="AA209" s="31"/>
      <c r="AB209" s="31"/>
      <c r="AC209" s="31"/>
      <c r="AD209" s="32"/>
      <c r="AE209" s="33"/>
      <c r="AF209" s="33"/>
      <c r="AG209" s="33"/>
      <c r="AH209" s="33"/>
      <c r="AI209" s="87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54"/>
      <c r="BZ209" s="54"/>
      <c r="CI209" s="22"/>
      <c r="CJ209" s="23"/>
      <c r="CK209" s="23"/>
      <c r="CL209" s="11"/>
      <c r="CM209" s="11"/>
      <c r="CN209" s="11"/>
      <c r="CO209" s="11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</row>
    <row r="210" spans="1:121" hidden="1" outlineLevel="1">
      <c r="A210" s="22"/>
      <c r="B210" s="27"/>
      <c r="C210" s="22"/>
      <c r="D210" s="22"/>
      <c r="E210" s="3"/>
      <c r="F210" s="3"/>
      <c r="G210" s="22"/>
      <c r="H210" s="27"/>
      <c r="I210" s="27"/>
      <c r="J210" s="29"/>
      <c r="K210" s="29"/>
      <c r="L210" s="29"/>
      <c r="M210" s="29"/>
      <c r="N210" s="29"/>
      <c r="O210" s="29"/>
      <c r="P210" s="29"/>
      <c r="Q210" s="29"/>
      <c r="R210" s="32"/>
      <c r="S210" s="32"/>
      <c r="T210" s="29"/>
      <c r="U210" s="40"/>
      <c r="V210" s="40"/>
      <c r="W210" s="10"/>
      <c r="X210" s="80"/>
      <c r="Y210" s="80"/>
      <c r="Z210" s="31"/>
      <c r="AA210" s="31"/>
      <c r="AB210" s="31"/>
      <c r="AC210" s="31"/>
      <c r="AD210" s="32"/>
      <c r="AE210" s="33"/>
      <c r="AF210" s="33"/>
      <c r="AG210" s="33"/>
      <c r="AH210" s="33"/>
      <c r="AI210" s="87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54"/>
      <c r="BZ210" s="54"/>
      <c r="CI210" s="22"/>
      <c r="CJ210" s="23"/>
      <c r="CK210" s="23"/>
      <c r="CL210" s="11"/>
      <c r="CM210" s="11"/>
      <c r="CN210" s="11"/>
      <c r="CO210" s="11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</row>
    <row r="211" spans="1:121" hidden="1" outlineLevel="1">
      <c r="A211" s="22"/>
      <c r="B211" s="27"/>
      <c r="C211" s="22"/>
      <c r="D211" s="22"/>
      <c r="E211" s="3"/>
      <c r="F211" s="3"/>
      <c r="G211" s="22"/>
      <c r="H211" s="27"/>
      <c r="I211" s="27"/>
      <c r="J211" s="29"/>
      <c r="K211" s="29"/>
      <c r="L211" s="29"/>
      <c r="M211" s="29"/>
      <c r="N211" s="29"/>
      <c r="O211" s="29"/>
      <c r="P211" s="29"/>
      <c r="Q211" s="29"/>
      <c r="R211" s="32"/>
      <c r="S211" s="32"/>
      <c r="T211" s="29"/>
      <c r="U211" s="40"/>
      <c r="V211" s="40"/>
      <c r="W211" s="10"/>
      <c r="X211" s="80"/>
      <c r="Y211" s="80"/>
      <c r="Z211" s="31"/>
      <c r="AA211" s="31"/>
      <c r="AB211" s="31"/>
      <c r="AC211" s="31"/>
      <c r="AD211" s="32"/>
      <c r="AE211" s="33"/>
      <c r="AF211" s="33"/>
      <c r="AG211" s="33"/>
      <c r="AH211" s="33"/>
      <c r="AI211" s="87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54"/>
      <c r="BZ211" s="54"/>
      <c r="CI211" s="22"/>
      <c r="CJ211" s="23"/>
      <c r="CK211" s="23"/>
      <c r="CL211" s="11"/>
      <c r="CM211" s="11"/>
      <c r="CN211" s="11"/>
      <c r="CO211" s="11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</row>
    <row r="212" spans="1:121" hidden="1" outlineLevel="1">
      <c r="A212" s="22"/>
      <c r="B212" s="27"/>
      <c r="C212" s="22"/>
      <c r="D212" s="22"/>
      <c r="E212" s="3"/>
      <c r="F212" s="3"/>
      <c r="G212" s="22"/>
      <c r="H212" s="27"/>
      <c r="I212" s="27"/>
      <c r="J212" s="29"/>
      <c r="K212" s="29"/>
      <c r="L212" s="29"/>
      <c r="M212" s="29"/>
      <c r="N212" s="29"/>
      <c r="O212" s="29"/>
      <c r="P212" s="29"/>
      <c r="Q212" s="29"/>
      <c r="R212" s="32"/>
      <c r="S212" s="32"/>
      <c r="T212" s="29"/>
      <c r="U212" s="40"/>
      <c r="V212" s="40"/>
      <c r="W212" s="10"/>
      <c r="X212" s="80"/>
      <c r="Y212" s="80"/>
      <c r="Z212" s="31"/>
      <c r="AA212" s="31"/>
      <c r="AB212" s="31"/>
      <c r="AC212" s="31"/>
      <c r="AD212" s="32"/>
      <c r="AE212" s="33"/>
      <c r="AF212" s="33"/>
      <c r="AG212" s="33"/>
      <c r="AH212" s="33"/>
      <c r="AI212" s="87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54"/>
      <c r="BZ212" s="54"/>
      <c r="CI212" s="22"/>
      <c r="CJ212" s="23"/>
      <c r="CK212" s="23"/>
      <c r="CL212" s="11"/>
      <c r="CM212" s="11"/>
      <c r="CN212" s="11"/>
      <c r="CO212" s="11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</row>
    <row r="213" spans="1:121" hidden="1" outlineLevel="1">
      <c r="A213" s="22"/>
      <c r="B213" s="27"/>
      <c r="C213" s="22"/>
      <c r="D213" s="22"/>
      <c r="E213" s="3"/>
      <c r="F213" s="3"/>
      <c r="G213" s="22"/>
      <c r="H213" s="27"/>
      <c r="I213" s="27"/>
      <c r="J213" s="29"/>
      <c r="K213" s="29"/>
      <c r="L213" s="29"/>
      <c r="M213" s="29"/>
      <c r="N213" s="29"/>
      <c r="O213" s="29"/>
      <c r="P213" s="29"/>
      <c r="Q213" s="29"/>
      <c r="R213" s="32"/>
      <c r="S213" s="32"/>
      <c r="T213" s="29"/>
      <c r="U213" s="40"/>
      <c r="V213" s="40"/>
      <c r="W213" s="10"/>
      <c r="X213" s="80"/>
      <c r="Y213" s="80"/>
      <c r="Z213" s="31"/>
      <c r="AA213" s="31"/>
      <c r="AB213" s="31"/>
      <c r="AC213" s="31"/>
      <c r="AD213" s="32"/>
      <c r="AE213" s="33"/>
      <c r="AF213" s="33"/>
      <c r="AG213" s="33"/>
      <c r="AH213" s="33"/>
      <c r="AI213" s="87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54"/>
      <c r="BZ213" s="54"/>
      <c r="CI213" s="22"/>
      <c r="CJ213" s="23"/>
      <c r="CK213" s="23"/>
      <c r="CL213" s="11"/>
      <c r="CM213" s="11"/>
      <c r="CN213" s="11"/>
      <c r="CO213" s="11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</row>
    <row r="214" spans="1:121" hidden="1" outlineLevel="1">
      <c r="A214" s="22"/>
      <c r="B214" s="27"/>
      <c r="C214" s="22"/>
      <c r="D214" s="22"/>
      <c r="E214" s="3"/>
      <c r="F214" s="3"/>
      <c r="G214" s="22"/>
      <c r="H214" s="27"/>
      <c r="I214" s="27"/>
      <c r="J214" s="29"/>
      <c r="K214" s="29"/>
      <c r="L214" s="29"/>
      <c r="M214" s="29"/>
      <c r="N214" s="29"/>
      <c r="O214" s="29"/>
      <c r="P214" s="29"/>
      <c r="Q214" s="29"/>
      <c r="R214" s="32"/>
      <c r="S214" s="32"/>
      <c r="T214" s="29"/>
      <c r="U214" s="40"/>
      <c r="V214" s="40"/>
      <c r="W214" s="10"/>
      <c r="X214" s="80"/>
      <c r="Y214" s="80"/>
      <c r="Z214" s="31"/>
      <c r="AA214" s="31"/>
      <c r="AB214" s="31"/>
      <c r="AC214" s="31"/>
      <c r="AD214" s="32"/>
      <c r="AE214" s="33"/>
      <c r="AF214" s="33"/>
      <c r="AG214" s="33"/>
      <c r="AH214" s="33"/>
      <c r="AI214" s="87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54"/>
      <c r="BZ214" s="54"/>
      <c r="CI214" s="22"/>
      <c r="CJ214" s="23"/>
      <c r="CK214" s="23"/>
      <c r="CL214" s="11"/>
      <c r="CM214" s="11"/>
      <c r="CN214" s="11"/>
      <c r="CO214" s="11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</row>
    <row r="215" spans="1:121" hidden="1" outlineLevel="1">
      <c r="A215" s="22"/>
      <c r="B215" s="27"/>
      <c r="C215" s="22"/>
      <c r="D215" s="22"/>
      <c r="E215" s="3"/>
      <c r="F215" s="3"/>
      <c r="G215" s="22"/>
      <c r="H215" s="27"/>
      <c r="I215" s="27"/>
      <c r="J215" s="29"/>
      <c r="K215" s="29"/>
      <c r="L215" s="29"/>
      <c r="M215" s="29"/>
      <c r="N215" s="29"/>
      <c r="O215" s="29"/>
      <c r="P215" s="29"/>
      <c r="Q215" s="29"/>
      <c r="R215" s="32"/>
      <c r="S215" s="32"/>
      <c r="T215" s="29"/>
      <c r="U215" s="40"/>
      <c r="V215" s="40"/>
      <c r="W215" s="10"/>
      <c r="X215" s="80"/>
      <c r="Y215" s="80"/>
      <c r="Z215" s="31"/>
      <c r="AA215" s="31"/>
      <c r="AB215" s="31"/>
      <c r="AC215" s="31"/>
      <c r="AD215" s="32"/>
      <c r="AE215" s="33"/>
      <c r="AF215" s="33"/>
      <c r="AG215" s="33"/>
      <c r="AH215" s="33"/>
      <c r="AI215" s="87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54"/>
      <c r="BZ215" s="54"/>
      <c r="CI215" s="22"/>
      <c r="CJ215" s="23"/>
      <c r="CK215" s="23"/>
      <c r="CL215" s="11"/>
      <c r="CM215" s="11"/>
      <c r="CN215" s="11"/>
      <c r="CO215" s="11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</row>
    <row r="216" spans="1:121" hidden="1" outlineLevel="1">
      <c r="A216" s="22"/>
      <c r="B216" s="27"/>
      <c r="C216" s="22"/>
      <c r="D216" s="22"/>
      <c r="E216" s="3"/>
      <c r="F216" s="3"/>
      <c r="G216" s="22"/>
      <c r="H216" s="27"/>
      <c r="I216" s="27"/>
      <c r="J216" s="29"/>
      <c r="K216" s="29"/>
      <c r="L216" s="29"/>
      <c r="M216" s="29"/>
      <c r="N216" s="29"/>
      <c r="O216" s="29"/>
      <c r="P216" s="29"/>
      <c r="Q216" s="29"/>
      <c r="R216" s="32"/>
      <c r="S216" s="32"/>
      <c r="T216" s="29"/>
      <c r="U216" s="40"/>
      <c r="V216" s="40"/>
      <c r="W216" s="10"/>
      <c r="X216" s="80"/>
      <c r="Y216" s="80"/>
      <c r="Z216" s="31"/>
      <c r="AA216" s="31"/>
      <c r="AB216" s="31"/>
      <c r="AC216" s="31"/>
      <c r="AD216" s="32"/>
      <c r="AE216" s="33"/>
      <c r="AF216" s="33"/>
      <c r="AG216" s="33"/>
      <c r="AH216" s="33"/>
      <c r="AI216" s="87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54"/>
      <c r="BZ216" s="54"/>
      <c r="CI216" s="22"/>
      <c r="CJ216" s="23"/>
      <c r="CK216" s="23"/>
      <c r="CL216" s="11"/>
      <c r="CM216" s="11"/>
      <c r="CN216" s="11"/>
      <c r="CO216" s="11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</row>
    <row r="217" spans="1:121" hidden="1" outlineLevel="1">
      <c r="A217" s="22"/>
      <c r="B217" s="27"/>
      <c r="C217" s="22"/>
      <c r="D217" s="22"/>
      <c r="E217" s="3"/>
      <c r="F217" s="3"/>
      <c r="G217" s="22"/>
      <c r="H217" s="27"/>
      <c r="I217" s="27"/>
      <c r="J217" s="29"/>
      <c r="K217" s="29"/>
      <c r="L217" s="29"/>
      <c r="M217" s="29"/>
      <c r="N217" s="29"/>
      <c r="O217" s="29"/>
      <c r="P217" s="29"/>
      <c r="Q217" s="29"/>
      <c r="R217" s="32"/>
      <c r="S217" s="32"/>
      <c r="T217" s="29"/>
      <c r="U217" s="40"/>
      <c r="V217" s="40"/>
      <c r="W217" s="10"/>
      <c r="X217" s="80"/>
      <c r="Y217" s="80"/>
      <c r="Z217" s="31"/>
      <c r="AA217" s="31"/>
      <c r="AB217" s="31"/>
      <c r="AC217" s="31"/>
      <c r="AD217" s="32"/>
      <c r="AE217" s="33"/>
      <c r="AF217" s="33"/>
      <c r="AG217" s="33"/>
      <c r="AH217" s="33"/>
      <c r="AI217" s="87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54"/>
      <c r="BZ217" s="54"/>
      <c r="CI217" s="22"/>
      <c r="CJ217" s="23"/>
      <c r="CK217" s="23"/>
      <c r="CL217" s="11"/>
      <c r="CM217" s="11"/>
      <c r="CN217" s="11"/>
      <c r="CO217" s="11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</row>
    <row r="218" spans="1:121" hidden="1" outlineLevel="1">
      <c r="A218" s="22"/>
      <c r="B218" s="27"/>
      <c r="C218" s="22"/>
      <c r="D218" s="22"/>
      <c r="E218" s="3"/>
      <c r="F218" s="3"/>
      <c r="G218" s="22"/>
      <c r="H218" s="27"/>
      <c r="I218" s="27"/>
      <c r="J218" s="29"/>
      <c r="K218" s="29"/>
      <c r="L218" s="29"/>
      <c r="M218" s="29"/>
      <c r="N218" s="29"/>
      <c r="O218" s="29"/>
      <c r="P218" s="29"/>
      <c r="Q218" s="29"/>
      <c r="R218" s="32"/>
      <c r="S218" s="32"/>
      <c r="T218" s="29"/>
      <c r="U218" s="40"/>
      <c r="V218" s="40"/>
      <c r="W218" s="10"/>
      <c r="X218" s="80"/>
      <c r="Y218" s="80"/>
      <c r="Z218" s="31"/>
      <c r="AA218" s="31"/>
      <c r="AB218" s="31"/>
      <c r="AC218" s="31"/>
      <c r="AD218" s="32"/>
      <c r="AE218" s="33"/>
      <c r="AF218" s="33"/>
      <c r="AG218" s="33"/>
      <c r="AH218" s="33"/>
      <c r="AI218" s="87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54"/>
      <c r="BZ218" s="54"/>
      <c r="CI218" s="22"/>
      <c r="CJ218" s="23"/>
      <c r="CK218" s="23"/>
      <c r="CL218" s="11"/>
      <c r="CM218" s="11"/>
      <c r="CN218" s="11"/>
      <c r="CO218" s="11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</row>
    <row r="219" spans="1:121" hidden="1" outlineLevel="1">
      <c r="A219" s="22"/>
      <c r="B219" s="27"/>
      <c r="C219" s="22"/>
      <c r="D219" s="22"/>
      <c r="E219" s="3"/>
      <c r="F219" s="3"/>
      <c r="G219" s="22"/>
      <c r="H219" s="27"/>
      <c r="I219" s="27"/>
      <c r="J219" s="29"/>
      <c r="K219" s="29"/>
      <c r="L219" s="29"/>
      <c r="M219" s="29"/>
      <c r="N219" s="29"/>
      <c r="O219" s="29"/>
      <c r="P219" s="29"/>
      <c r="Q219" s="29"/>
      <c r="R219" s="32"/>
      <c r="S219" s="32"/>
      <c r="T219" s="29"/>
      <c r="U219" s="40"/>
      <c r="V219" s="40"/>
      <c r="W219" s="10"/>
      <c r="X219" s="80"/>
      <c r="Y219" s="80"/>
      <c r="Z219" s="31"/>
      <c r="AA219" s="31"/>
      <c r="AB219" s="31"/>
      <c r="AC219" s="31"/>
      <c r="AD219" s="32"/>
      <c r="AE219" s="33"/>
      <c r="AF219" s="33"/>
      <c r="AG219" s="33"/>
      <c r="AH219" s="33"/>
      <c r="AI219" s="87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54"/>
      <c r="BZ219" s="54"/>
      <c r="CI219" s="22"/>
      <c r="CJ219" s="23"/>
      <c r="CK219" s="23"/>
      <c r="CL219" s="11"/>
      <c r="CM219" s="11"/>
      <c r="CN219" s="11"/>
      <c r="CO219" s="11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</row>
    <row r="220" spans="1:121" hidden="1" outlineLevel="1">
      <c r="A220" s="22"/>
      <c r="B220" s="27"/>
      <c r="C220" s="22"/>
      <c r="D220" s="22"/>
      <c r="E220" s="3"/>
      <c r="F220" s="3"/>
      <c r="G220" s="22"/>
      <c r="H220" s="27"/>
      <c r="I220" s="27"/>
      <c r="J220" s="29"/>
      <c r="K220" s="29"/>
      <c r="L220" s="29"/>
      <c r="M220" s="29"/>
      <c r="N220" s="29"/>
      <c r="O220" s="29"/>
      <c r="P220" s="29"/>
      <c r="Q220" s="29"/>
      <c r="R220" s="32"/>
      <c r="S220" s="32"/>
      <c r="T220" s="29"/>
      <c r="U220" s="40"/>
      <c r="V220" s="40"/>
      <c r="W220" s="10"/>
      <c r="X220" s="80"/>
      <c r="Y220" s="80"/>
      <c r="Z220" s="31"/>
      <c r="AA220" s="31"/>
      <c r="AB220" s="31"/>
      <c r="AC220" s="31"/>
      <c r="AD220" s="32"/>
      <c r="AE220" s="33"/>
      <c r="AF220" s="33"/>
      <c r="AG220" s="33"/>
      <c r="AH220" s="33"/>
      <c r="AI220" s="87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54"/>
      <c r="BZ220" s="54"/>
      <c r="CI220" s="22"/>
      <c r="CJ220" s="23"/>
      <c r="CK220" s="23"/>
      <c r="CL220" s="11"/>
      <c r="CM220" s="11"/>
      <c r="CN220" s="11"/>
      <c r="CO220" s="11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</row>
    <row r="221" spans="1:121" hidden="1" outlineLevel="1">
      <c r="A221" s="22"/>
      <c r="B221" s="27"/>
      <c r="C221" s="22"/>
      <c r="D221" s="22"/>
      <c r="E221" s="3"/>
      <c r="F221" s="3"/>
      <c r="G221" s="22"/>
      <c r="H221" s="27"/>
      <c r="I221" s="27"/>
      <c r="J221" s="29"/>
      <c r="K221" s="29"/>
      <c r="L221" s="29"/>
      <c r="M221" s="29"/>
      <c r="N221" s="29"/>
      <c r="O221" s="29"/>
      <c r="P221" s="29"/>
      <c r="Q221" s="29"/>
      <c r="R221" s="32"/>
      <c r="S221" s="32"/>
      <c r="T221" s="29"/>
      <c r="U221" s="40"/>
      <c r="V221" s="40"/>
      <c r="W221" s="10"/>
      <c r="X221" s="80"/>
      <c r="Y221" s="80"/>
      <c r="Z221" s="31"/>
      <c r="AA221" s="31"/>
      <c r="AB221" s="31"/>
      <c r="AC221" s="31"/>
      <c r="AD221" s="32"/>
      <c r="AE221" s="33"/>
      <c r="AF221" s="33"/>
      <c r="AG221" s="33"/>
      <c r="AH221" s="33"/>
      <c r="AI221" s="87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54"/>
      <c r="BZ221" s="54"/>
      <c r="CI221" s="22"/>
      <c r="CJ221" s="23"/>
      <c r="CK221" s="23"/>
      <c r="CL221" s="11"/>
      <c r="CM221" s="11"/>
      <c r="CN221" s="11"/>
      <c r="CO221" s="11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</row>
    <row r="222" spans="1:121" hidden="1" outlineLevel="1">
      <c r="A222" s="22"/>
      <c r="B222" s="27"/>
      <c r="C222" s="22"/>
      <c r="D222" s="22"/>
      <c r="E222" s="3"/>
      <c r="F222" s="3"/>
      <c r="G222" s="22"/>
      <c r="H222" s="27"/>
      <c r="I222" s="27"/>
      <c r="J222" s="29"/>
      <c r="K222" s="29"/>
      <c r="L222" s="29"/>
      <c r="M222" s="29"/>
      <c r="N222" s="29"/>
      <c r="O222" s="29"/>
      <c r="P222" s="29"/>
      <c r="Q222" s="29"/>
      <c r="R222" s="32"/>
      <c r="S222" s="32"/>
      <c r="T222" s="29"/>
      <c r="U222" s="40"/>
      <c r="V222" s="40"/>
      <c r="W222" s="10"/>
      <c r="X222" s="80"/>
      <c r="Y222" s="80"/>
      <c r="Z222" s="31"/>
      <c r="AA222" s="31"/>
      <c r="AB222" s="31"/>
      <c r="AC222" s="31"/>
      <c r="AD222" s="32"/>
      <c r="AE222" s="33"/>
      <c r="AF222" s="33"/>
      <c r="AG222" s="33"/>
      <c r="AH222" s="33"/>
      <c r="AI222" s="87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54"/>
      <c r="BZ222" s="54"/>
      <c r="CI222" s="22"/>
      <c r="CJ222" s="23"/>
      <c r="CK222" s="23"/>
      <c r="CL222" s="11"/>
      <c r="CM222" s="11"/>
      <c r="CN222" s="11"/>
      <c r="CO222" s="11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</row>
    <row r="223" spans="1:121" hidden="1" outlineLevel="1">
      <c r="A223" s="22"/>
      <c r="B223" s="27"/>
      <c r="C223" s="22"/>
      <c r="D223" s="22"/>
      <c r="E223" s="3"/>
      <c r="F223" s="3"/>
      <c r="G223" s="22"/>
      <c r="H223" s="27"/>
      <c r="I223" s="27"/>
      <c r="J223" s="29"/>
      <c r="K223" s="29"/>
      <c r="L223" s="29"/>
      <c r="M223" s="29"/>
      <c r="N223" s="29"/>
      <c r="O223" s="29"/>
      <c r="P223" s="29"/>
      <c r="Q223" s="29"/>
      <c r="R223" s="32"/>
      <c r="S223" s="32"/>
      <c r="T223" s="29"/>
      <c r="U223" s="40"/>
      <c r="V223" s="40"/>
      <c r="W223" s="10"/>
      <c r="X223" s="80"/>
      <c r="Y223" s="80"/>
      <c r="Z223" s="31"/>
      <c r="AA223" s="31"/>
      <c r="AB223" s="31"/>
      <c r="AC223" s="31"/>
      <c r="AD223" s="32"/>
      <c r="AE223" s="33"/>
      <c r="AF223" s="33"/>
      <c r="AG223" s="33"/>
      <c r="AH223" s="33"/>
      <c r="AI223" s="87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54"/>
      <c r="BZ223" s="54"/>
      <c r="CI223" s="22"/>
      <c r="CJ223" s="23"/>
      <c r="CK223" s="23"/>
      <c r="CL223" s="11"/>
      <c r="CM223" s="11"/>
      <c r="CN223" s="11"/>
      <c r="CO223" s="11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</row>
    <row r="224" spans="1:121" hidden="1" outlineLevel="1">
      <c r="A224" s="22"/>
      <c r="B224" s="27"/>
      <c r="C224" s="22"/>
      <c r="D224" s="22"/>
      <c r="E224" s="3"/>
      <c r="F224" s="3"/>
      <c r="G224" s="22"/>
      <c r="H224" s="27"/>
      <c r="I224" s="27"/>
      <c r="J224" s="29"/>
      <c r="K224" s="29"/>
      <c r="L224" s="29"/>
      <c r="M224" s="29"/>
      <c r="N224" s="29"/>
      <c r="O224" s="29"/>
      <c r="P224" s="29"/>
      <c r="Q224" s="29"/>
      <c r="R224" s="32"/>
      <c r="S224" s="32"/>
      <c r="T224" s="29"/>
      <c r="U224" s="40"/>
      <c r="V224" s="40"/>
      <c r="W224" s="10"/>
      <c r="X224" s="80"/>
      <c r="Y224" s="80"/>
      <c r="Z224" s="31"/>
      <c r="AA224" s="31"/>
      <c r="AB224" s="31"/>
      <c r="AC224" s="31"/>
      <c r="AD224" s="32"/>
      <c r="AE224" s="33"/>
      <c r="AF224" s="33"/>
      <c r="AG224" s="33"/>
      <c r="AH224" s="33"/>
      <c r="AI224" s="87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54"/>
      <c r="BZ224" s="54"/>
      <c r="CI224" s="22"/>
      <c r="CJ224" s="23"/>
      <c r="CK224" s="23"/>
      <c r="CL224" s="11"/>
      <c r="CM224" s="11"/>
      <c r="CN224" s="11"/>
      <c r="CO224" s="11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</row>
    <row r="225" spans="1:121" hidden="1" outlineLevel="1">
      <c r="A225" s="22"/>
      <c r="B225" s="27"/>
      <c r="C225" s="22"/>
      <c r="D225" s="22"/>
      <c r="E225" s="3"/>
      <c r="F225" s="3"/>
      <c r="G225" s="22"/>
      <c r="H225" s="27"/>
      <c r="I225" s="27"/>
      <c r="J225" s="29"/>
      <c r="K225" s="29"/>
      <c r="L225" s="29"/>
      <c r="M225" s="29"/>
      <c r="N225" s="29"/>
      <c r="O225" s="29"/>
      <c r="P225" s="29"/>
      <c r="Q225" s="29"/>
      <c r="R225" s="32"/>
      <c r="S225" s="32"/>
      <c r="T225" s="29"/>
      <c r="U225" s="40"/>
      <c r="V225" s="40"/>
      <c r="W225" s="10"/>
      <c r="X225" s="80"/>
      <c r="Y225" s="80"/>
      <c r="Z225" s="31"/>
      <c r="AA225" s="31"/>
      <c r="AB225" s="31"/>
      <c r="AC225" s="31"/>
      <c r="AD225" s="32"/>
      <c r="AE225" s="33"/>
      <c r="AF225" s="33"/>
      <c r="AG225" s="33"/>
      <c r="AH225" s="33"/>
      <c r="AI225" s="87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54"/>
      <c r="BZ225" s="54"/>
      <c r="CI225" s="22"/>
      <c r="CJ225" s="23"/>
      <c r="CK225" s="23"/>
      <c r="CL225" s="11"/>
      <c r="CM225" s="11"/>
      <c r="CN225" s="11"/>
      <c r="CO225" s="11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</row>
    <row r="226" spans="1:121" hidden="1" outlineLevel="1">
      <c r="A226" s="22"/>
      <c r="B226" s="27"/>
      <c r="C226" s="22"/>
      <c r="D226" s="22"/>
      <c r="E226" s="3"/>
      <c r="F226" s="3"/>
      <c r="G226" s="22"/>
      <c r="H226" s="27"/>
      <c r="I226" s="27"/>
      <c r="J226" s="29"/>
      <c r="K226" s="29"/>
      <c r="L226" s="29"/>
      <c r="M226" s="29"/>
      <c r="N226" s="29"/>
      <c r="O226" s="29"/>
      <c r="P226" s="29"/>
      <c r="Q226" s="29"/>
      <c r="R226" s="32"/>
      <c r="S226" s="32"/>
      <c r="T226" s="29"/>
      <c r="U226" s="40"/>
      <c r="V226" s="40"/>
      <c r="W226" s="10"/>
      <c r="X226" s="80"/>
      <c r="Y226" s="80"/>
      <c r="Z226" s="31"/>
      <c r="AA226" s="31"/>
      <c r="AB226" s="31"/>
      <c r="AC226" s="31"/>
      <c r="AD226" s="32"/>
      <c r="AE226" s="33"/>
      <c r="AF226" s="33"/>
      <c r="AG226" s="33"/>
      <c r="AH226" s="33"/>
      <c r="AI226" s="87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54"/>
      <c r="BZ226" s="54"/>
      <c r="CI226" s="22"/>
      <c r="CJ226" s="23"/>
      <c r="CK226" s="23"/>
      <c r="CL226" s="11"/>
      <c r="CM226" s="11"/>
      <c r="CN226" s="11"/>
      <c r="CO226" s="11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</row>
    <row r="227" spans="1:121" hidden="1" outlineLevel="1">
      <c r="A227" s="22"/>
      <c r="B227" s="27"/>
      <c r="C227" s="22"/>
      <c r="D227" s="22"/>
      <c r="E227" s="3"/>
      <c r="F227" s="3"/>
      <c r="G227" s="22"/>
      <c r="H227" s="27"/>
      <c r="I227" s="27"/>
      <c r="J227" s="29"/>
      <c r="K227" s="29"/>
      <c r="L227" s="29"/>
      <c r="M227" s="29"/>
      <c r="N227" s="29"/>
      <c r="O227" s="29"/>
      <c r="P227" s="29"/>
      <c r="Q227" s="29"/>
      <c r="R227" s="32"/>
      <c r="S227" s="32"/>
      <c r="T227" s="29"/>
      <c r="U227" s="40"/>
      <c r="V227" s="40"/>
      <c r="W227" s="10"/>
      <c r="X227" s="80"/>
      <c r="Y227" s="80"/>
      <c r="Z227" s="31"/>
      <c r="AA227" s="31"/>
      <c r="AB227" s="31"/>
      <c r="AC227" s="31"/>
      <c r="AD227" s="32"/>
      <c r="AE227" s="33"/>
      <c r="AF227" s="33"/>
      <c r="AG227" s="33"/>
      <c r="AH227" s="33"/>
      <c r="AI227" s="87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54"/>
      <c r="BZ227" s="54"/>
      <c r="CI227" s="22"/>
      <c r="CJ227" s="23"/>
      <c r="CK227" s="23"/>
      <c r="CL227" s="11"/>
      <c r="CM227" s="11"/>
      <c r="CN227" s="11"/>
      <c r="CO227" s="11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</row>
    <row r="228" spans="1:121" hidden="1" outlineLevel="1">
      <c r="A228" s="22"/>
      <c r="B228" s="27"/>
      <c r="C228" s="22"/>
      <c r="D228" s="22"/>
      <c r="E228" s="3"/>
      <c r="F228" s="3"/>
      <c r="G228" s="22"/>
      <c r="H228" s="27"/>
      <c r="I228" s="27"/>
      <c r="J228" s="29"/>
      <c r="K228" s="29"/>
      <c r="L228" s="29"/>
      <c r="M228" s="29"/>
      <c r="N228" s="29"/>
      <c r="O228" s="29"/>
      <c r="P228" s="29"/>
      <c r="Q228" s="29"/>
      <c r="R228" s="32"/>
      <c r="S228" s="32"/>
      <c r="T228" s="29"/>
      <c r="U228" s="40"/>
      <c r="V228" s="40"/>
      <c r="W228" s="10"/>
      <c r="X228" s="80"/>
      <c r="Y228" s="80"/>
      <c r="Z228" s="31"/>
      <c r="AA228" s="31"/>
      <c r="AB228" s="31"/>
      <c r="AC228" s="31"/>
      <c r="AD228" s="32"/>
      <c r="AE228" s="33"/>
      <c r="AF228" s="33"/>
      <c r="AG228" s="33"/>
      <c r="AH228" s="33"/>
      <c r="AI228" s="87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54"/>
      <c r="BZ228" s="54"/>
      <c r="CI228" s="22"/>
      <c r="CJ228" s="23"/>
      <c r="CK228" s="23"/>
      <c r="CL228" s="11"/>
      <c r="CM228" s="11"/>
      <c r="CN228" s="11"/>
      <c r="CO228" s="11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</row>
    <row r="229" spans="1:121" hidden="1" outlineLevel="1">
      <c r="A229" s="22"/>
      <c r="B229" s="27"/>
      <c r="C229" s="22"/>
      <c r="D229" s="22"/>
      <c r="E229" s="3"/>
      <c r="F229" s="3"/>
      <c r="G229" s="22"/>
      <c r="H229" s="27"/>
      <c r="I229" s="27"/>
      <c r="J229" s="29"/>
      <c r="K229" s="29"/>
      <c r="L229" s="29"/>
      <c r="M229" s="29"/>
      <c r="N229" s="29"/>
      <c r="O229" s="29"/>
      <c r="P229" s="29"/>
      <c r="Q229" s="29"/>
      <c r="R229" s="32"/>
      <c r="S229" s="32"/>
      <c r="T229" s="29"/>
      <c r="U229" s="40"/>
      <c r="V229" s="40"/>
      <c r="W229" s="10"/>
      <c r="X229" s="80"/>
      <c r="Y229" s="80"/>
      <c r="Z229" s="31"/>
      <c r="AA229" s="31"/>
      <c r="AB229" s="31"/>
      <c r="AC229" s="31"/>
      <c r="AD229" s="32"/>
      <c r="AE229" s="33"/>
      <c r="AF229" s="33"/>
      <c r="AG229" s="33"/>
      <c r="AH229" s="33"/>
      <c r="AI229" s="87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54"/>
      <c r="BZ229" s="54"/>
      <c r="CI229" s="22"/>
      <c r="CJ229" s="23"/>
      <c r="CK229" s="23"/>
      <c r="CL229" s="11"/>
      <c r="CM229" s="11"/>
      <c r="CN229" s="11"/>
      <c r="CO229" s="11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</row>
    <row r="230" spans="1:121" hidden="1" outlineLevel="1">
      <c r="A230" s="22"/>
      <c r="B230" s="27"/>
      <c r="C230" s="22"/>
      <c r="D230" s="22"/>
      <c r="E230" s="3"/>
      <c r="F230" s="3"/>
      <c r="G230" s="22"/>
      <c r="H230" s="27"/>
      <c r="I230" s="27"/>
      <c r="J230" s="29"/>
      <c r="K230" s="29"/>
      <c r="L230" s="29"/>
      <c r="M230" s="29"/>
      <c r="N230" s="29"/>
      <c r="O230" s="29"/>
      <c r="P230" s="29"/>
      <c r="Q230" s="29"/>
      <c r="R230" s="32"/>
      <c r="S230" s="32"/>
      <c r="T230" s="29"/>
      <c r="U230" s="40"/>
      <c r="V230" s="40"/>
      <c r="W230" s="10"/>
      <c r="X230" s="80"/>
      <c r="Y230" s="80"/>
      <c r="Z230" s="31"/>
      <c r="AA230" s="31"/>
      <c r="AB230" s="31"/>
      <c r="AC230" s="31"/>
      <c r="AD230" s="32"/>
      <c r="AE230" s="33"/>
      <c r="AF230" s="33"/>
      <c r="AG230" s="33"/>
      <c r="AH230" s="33"/>
      <c r="AI230" s="87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54"/>
      <c r="BZ230" s="54"/>
      <c r="CI230" s="22"/>
      <c r="CJ230" s="23"/>
      <c r="CK230" s="23"/>
      <c r="CL230" s="11"/>
      <c r="CM230" s="11"/>
      <c r="CN230" s="11"/>
      <c r="CO230" s="11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</row>
    <row r="231" spans="1:121" hidden="1" outlineLevel="1">
      <c r="A231" s="22"/>
      <c r="B231" s="27"/>
      <c r="C231" s="22"/>
      <c r="D231" s="22"/>
      <c r="E231" s="3"/>
      <c r="F231" s="3"/>
      <c r="G231" s="22"/>
      <c r="H231" s="27"/>
      <c r="I231" s="27"/>
      <c r="J231" s="29"/>
      <c r="K231" s="29"/>
      <c r="L231" s="29"/>
      <c r="M231" s="29"/>
      <c r="N231" s="29"/>
      <c r="O231" s="29"/>
      <c r="P231" s="29"/>
      <c r="Q231" s="29"/>
      <c r="R231" s="32"/>
      <c r="S231" s="32"/>
      <c r="T231" s="29"/>
      <c r="U231" s="40"/>
      <c r="V231" s="40"/>
      <c r="W231" s="10"/>
      <c r="X231" s="80"/>
      <c r="Y231" s="80"/>
      <c r="Z231" s="31"/>
      <c r="AA231" s="31"/>
      <c r="AB231" s="31"/>
      <c r="AC231" s="31"/>
      <c r="AD231" s="32"/>
      <c r="AE231" s="33"/>
      <c r="AF231" s="33"/>
      <c r="AG231" s="33"/>
      <c r="AH231" s="33"/>
      <c r="AI231" s="87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54"/>
      <c r="BZ231" s="54"/>
      <c r="CI231" s="22"/>
      <c r="CJ231" s="23"/>
      <c r="CK231" s="23"/>
      <c r="CL231" s="11"/>
      <c r="CM231" s="11"/>
      <c r="CN231" s="11"/>
      <c r="CO231" s="11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</row>
    <row r="232" spans="1:121" hidden="1" outlineLevel="1">
      <c r="A232" s="22"/>
      <c r="B232" s="27"/>
      <c r="C232" s="22"/>
      <c r="D232" s="22"/>
      <c r="E232" s="3"/>
      <c r="F232" s="3"/>
      <c r="G232" s="22"/>
      <c r="H232" s="27"/>
      <c r="I232" s="27"/>
      <c r="J232" s="29"/>
      <c r="K232" s="29"/>
      <c r="L232" s="29"/>
      <c r="M232" s="29"/>
      <c r="N232" s="29"/>
      <c r="O232" s="29"/>
      <c r="P232" s="29"/>
      <c r="Q232" s="29"/>
      <c r="R232" s="32"/>
      <c r="S232" s="32"/>
      <c r="T232" s="29"/>
      <c r="U232" s="40"/>
      <c r="V232" s="40"/>
      <c r="W232" s="10"/>
      <c r="X232" s="80"/>
      <c r="Y232" s="80"/>
      <c r="Z232" s="31"/>
      <c r="AA232" s="31"/>
      <c r="AB232" s="31"/>
      <c r="AC232" s="31"/>
      <c r="AD232" s="32"/>
      <c r="AE232" s="33"/>
      <c r="AF232" s="33"/>
      <c r="AG232" s="33"/>
      <c r="AH232" s="33"/>
      <c r="AI232" s="87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54"/>
      <c r="BZ232" s="54"/>
      <c r="CI232" s="22"/>
      <c r="CJ232" s="23"/>
      <c r="CK232" s="23"/>
      <c r="CL232" s="11"/>
      <c r="CM232" s="11"/>
      <c r="CN232" s="11"/>
      <c r="CO232" s="11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</row>
    <row r="233" spans="1:121" hidden="1" outlineLevel="1">
      <c r="A233" s="22"/>
      <c r="B233" s="27"/>
      <c r="C233" s="22"/>
      <c r="D233" s="22"/>
      <c r="E233" s="3"/>
      <c r="F233" s="3"/>
      <c r="G233" s="22"/>
      <c r="H233" s="27"/>
      <c r="I233" s="27"/>
      <c r="J233" s="29"/>
      <c r="K233" s="29"/>
      <c r="L233" s="29"/>
      <c r="M233" s="29"/>
      <c r="N233" s="29"/>
      <c r="O233" s="29"/>
      <c r="P233" s="29"/>
      <c r="Q233" s="29"/>
      <c r="R233" s="32"/>
      <c r="S233" s="32"/>
      <c r="T233" s="29"/>
      <c r="U233" s="40"/>
      <c r="V233" s="40"/>
      <c r="W233" s="10"/>
      <c r="X233" s="80"/>
      <c r="Y233" s="80"/>
      <c r="Z233" s="31"/>
      <c r="AA233" s="31"/>
      <c r="AB233" s="31"/>
      <c r="AC233" s="31"/>
      <c r="AD233" s="32"/>
      <c r="AE233" s="33"/>
      <c r="AF233" s="33"/>
      <c r="AG233" s="33"/>
      <c r="AH233" s="33"/>
      <c r="AI233" s="87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54"/>
      <c r="BZ233" s="54"/>
      <c r="CI233" s="22"/>
      <c r="CJ233" s="23"/>
      <c r="CK233" s="23"/>
      <c r="CL233" s="11"/>
      <c r="CM233" s="11"/>
      <c r="CN233" s="11"/>
      <c r="CO233" s="11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</row>
    <row r="234" spans="1:121" hidden="1" outlineLevel="1">
      <c r="A234" s="22"/>
      <c r="B234" s="27"/>
      <c r="C234" s="22"/>
      <c r="D234" s="22"/>
      <c r="E234" s="3"/>
      <c r="F234" s="3"/>
      <c r="G234" s="22"/>
      <c r="H234" s="27"/>
      <c r="I234" s="27"/>
      <c r="J234" s="29"/>
      <c r="K234" s="29"/>
      <c r="L234" s="29"/>
      <c r="M234" s="29"/>
      <c r="N234" s="29"/>
      <c r="O234" s="29"/>
      <c r="P234" s="29"/>
      <c r="Q234" s="29"/>
      <c r="R234" s="32"/>
      <c r="S234" s="32"/>
      <c r="T234" s="29"/>
      <c r="U234" s="40"/>
      <c r="V234" s="40"/>
      <c r="W234" s="10"/>
      <c r="X234" s="80"/>
      <c r="Y234" s="80"/>
      <c r="Z234" s="31"/>
      <c r="AA234" s="31"/>
      <c r="AB234" s="31"/>
      <c r="AC234" s="31"/>
      <c r="AD234" s="32"/>
      <c r="AE234" s="33"/>
      <c r="AF234" s="33"/>
      <c r="AG234" s="33"/>
      <c r="AH234" s="33"/>
      <c r="AI234" s="87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54"/>
      <c r="BZ234" s="54"/>
      <c r="CI234" s="22"/>
      <c r="CJ234" s="23"/>
      <c r="CK234" s="23"/>
      <c r="CL234" s="11"/>
      <c r="CM234" s="11"/>
      <c r="CN234" s="11"/>
      <c r="CO234" s="11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</row>
    <row r="235" spans="1:121" hidden="1" outlineLevel="1">
      <c r="A235" s="22"/>
      <c r="B235" s="27"/>
      <c r="C235" s="22"/>
      <c r="D235" s="22"/>
      <c r="E235" s="3"/>
      <c r="F235" s="3"/>
      <c r="G235" s="22"/>
      <c r="H235" s="27"/>
      <c r="I235" s="27"/>
      <c r="J235" s="29"/>
      <c r="K235" s="29"/>
      <c r="L235" s="29"/>
      <c r="M235" s="29"/>
      <c r="N235" s="29"/>
      <c r="O235" s="29"/>
      <c r="P235" s="29"/>
      <c r="Q235" s="29"/>
      <c r="R235" s="32"/>
      <c r="S235" s="32"/>
      <c r="T235" s="29"/>
      <c r="U235" s="40"/>
      <c r="V235" s="40"/>
      <c r="W235" s="10"/>
      <c r="X235" s="80"/>
      <c r="Y235" s="80"/>
      <c r="Z235" s="31"/>
      <c r="AA235" s="31"/>
      <c r="AB235" s="31"/>
      <c r="AC235" s="31"/>
      <c r="AD235" s="32"/>
      <c r="AE235" s="33"/>
      <c r="AF235" s="33"/>
      <c r="AG235" s="33"/>
      <c r="AH235" s="33"/>
      <c r="AI235" s="87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54"/>
      <c r="BZ235" s="54"/>
      <c r="CI235" s="22"/>
      <c r="CJ235" s="23"/>
      <c r="CK235" s="23"/>
      <c r="CL235" s="11"/>
      <c r="CM235" s="11"/>
      <c r="CN235" s="11"/>
      <c r="CO235" s="11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</row>
    <row r="236" spans="1:121" hidden="1" outlineLevel="1">
      <c r="A236" s="22"/>
      <c r="B236" s="27"/>
      <c r="C236" s="22"/>
      <c r="D236" s="22"/>
      <c r="E236" s="3"/>
      <c r="F236" s="3"/>
      <c r="G236" s="22"/>
      <c r="H236" s="27"/>
      <c r="I236" s="27"/>
      <c r="J236" s="29"/>
      <c r="K236" s="29"/>
      <c r="L236" s="29"/>
      <c r="M236" s="29"/>
      <c r="N236" s="29"/>
      <c r="O236" s="29"/>
      <c r="P236" s="29"/>
      <c r="Q236" s="29"/>
      <c r="R236" s="32"/>
      <c r="S236" s="32"/>
      <c r="T236" s="29"/>
      <c r="U236" s="40"/>
      <c r="V236" s="40"/>
      <c r="W236" s="10"/>
      <c r="X236" s="80"/>
      <c r="Y236" s="80"/>
      <c r="Z236" s="31"/>
      <c r="AA236" s="31"/>
      <c r="AB236" s="31"/>
      <c r="AC236" s="31"/>
      <c r="AD236" s="32"/>
      <c r="AE236" s="33"/>
      <c r="AF236" s="33"/>
      <c r="AG236" s="33"/>
      <c r="AH236" s="33"/>
      <c r="AI236" s="87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54"/>
      <c r="BZ236" s="54"/>
      <c r="CI236" s="22"/>
      <c r="CJ236" s="23"/>
      <c r="CK236" s="23"/>
      <c r="CL236" s="11"/>
      <c r="CM236" s="11"/>
      <c r="CN236" s="11"/>
      <c r="CO236" s="11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</row>
    <row r="237" spans="1:121" hidden="1" outlineLevel="1">
      <c r="A237" s="22"/>
      <c r="B237" s="27"/>
      <c r="C237" s="22"/>
      <c r="D237" s="22"/>
      <c r="E237" s="3"/>
      <c r="F237" s="3"/>
      <c r="G237" s="22"/>
      <c r="H237" s="27"/>
      <c r="I237" s="27"/>
      <c r="J237" s="29"/>
      <c r="K237" s="29"/>
      <c r="L237" s="29"/>
      <c r="M237" s="29"/>
      <c r="N237" s="29"/>
      <c r="O237" s="29"/>
      <c r="P237" s="29"/>
      <c r="Q237" s="29"/>
      <c r="R237" s="32"/>
      <c r="S237" s="32"/>
      <c r="T237" s="29"/>
      <c r="U237" s="40"/>
      <c r="V237" s="40"/>
      <c r="W237" s="10"/>
      <c r="X237" s="80"/>
      <c r="Y237" s="80"/>
      <c r="Z237" s="31"/>
      <c r="AA237" s="31"/>
      <c r="AB237" s="31"/>
      <c r="AC237" s="31"/>
      <c r="AD237" s="32"/>
      <c r="AE237" s="33"/>
      <c r="AF237" s="33"/>
      <c r="AG237" s="33"/>
      <c r="AH237" s="33"/>
      <c r="AI237" s="87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54"/>
      <c r="BZ237" s="54"/>
      <c r="CI237" s="22"/>
      <c r="CJ237" s="23"/>
      <c r="CK237" s="23"/>
      <c r="CL237" s="11"/>
      <c r="CM237" s="11"/>
      <c r="CN237" s="11"/>
      <c r="CO237" s="11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</row>
    <row r="238" spans="1:121" hidden="1" outlineLevel="1">
      <c r="A238" s="22"/>
      <c r="B238" s="27"/>
      <c r="C238" s="22"/>
      <c r="D238" s="22"/>
      <c r="E238" s="3"/>
      <c r="F238" s="3"/>
      <c r="G238" s="22"/>
      <c r="H238" s="27"/>
      <c r="I238" s="27"/>
      <c r="J238" s="29"/>
      <c r="K238" s="29"/>
      <c r="L238" s="29"/>
      <c r="M238" s="29"/>
      <c r="N238" s="29"/>
      <c r="O238" s="29"/>
      <c r="P238" s="29"/>
      <c r="Q238" s="29"/>
      <c r="R238" s="32"/>
      <c r="S238" s="32"/>
      <c r="T238" s="29"/>
      <c r="U238" s="40"/>
      <c r="V238" s="40"/>
      <c r="W238" s="10"/>
      <c r="X238" s="80"/>
      <c r="Y238" s="80"/>
      <c r="Z238" s="31"/>
      <c r="AA238" s="31"/>
      <c r="AB238" s="31"/>
      <c r="AC238" s="31"/>
      <c r="AD238" s="32"/>
      <c r="AE238" s="33"/>
      <c r="AF238" s="33"/>
      <c r="AG238" s="33"/>
      <c r="AH238" s="33"/>
      <c r="AI238" s="87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54"/>
      <c r="BZ238" s="54"/>
      <c r="CI238" s="22"/>
      <c r="CJ238" s="23"/>
      <c r="CK238" s="23"/>
      <c r="CL238" s="11"/>
      <c r="CM238" s="11"/>
      <c r="CN238" s="11"/>
      <c r="CO238" s="11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</row>
    <row r="239" spans="1:121" hidden="1" outlineLevel="1">
      <c r="A239" s="22"/>
      <c r="B239" s="27"/>
      <c r="C239" s="22"/>
      <c r="D239" s="22"/>
      <c r="E239" s="3"/>
      <c r="F239" s="3"/>
      <c r="G239" s="22"/>
      <c r="H239" s="27"/>
      <c r="I239" s="27"/>
      <c r="J239" s="29"/>
      <c r="K239" s="29"/>
      <c r="L239" s="29"/>
      <c r="M239" s="29"/>
      <c r="N239" s="29"/>
      <c r="O239" s="29"/>
      <c r="P239" s="29"/>
      <c r="Q239" s="29"/>
      <c r="R239" s="32"/>
      <c r="S239" s="32"/>
      <c r="T239" s="29"/>
      <c r="U239" s="40"/>
      <c r="V239" s="40"/>
      <c r="W239" s="10"/>
      <c r="X239" s="80"/>
      <c r="Y239" s="80"/>
      <c r="Z239" s="31"/>
      <c r="AA239" s="31"/>
      <c r="AB239" s="31"/>
      <c r="AC239" s="31"/>
      <c r="AD239" s="32"/>
      <c r="AE239" s="33"/>
      <c r="AF239" s="33"/>
      <c r="AG239" s="33"/>
      <c r="AH239" s="33"/>
      <c r="AI239" s="87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54"/>
      <c r="BZ239" s="54"/>
      <c r="CI239" s="22"/>
      <c r="CJ239" s="23"/>
      <c r="CK239" s="23"/>
      <c r="CL239" s="11"/>
      <c r="CM239" s="11"/>
      <c r="CN239" s="11"/>
      <c r="CO239" s="11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</row>
    <row r="240" spans="1:121" hidden="1" outlineLevel="1">
      <c r="A240" s="22"/>
      <c r="B240" s="27"/>
      <c r="C240" s="22"/>
      <c r="D240" s="22"/>
      <c r="E240" s="3"/>
      <c r="F240" s="3"/>
      <c r="G240" s="22"/>
      <c r="H240" s="27"/>
      <c r="I240" s="27"/>
      <c r="J240" s="29"/>
      <c r="K240" s="29"/>
      <c r="L240" s="29"/>
      <c r="M240" s="29"/>
      <c r="N240" s="29"/>
      <c r="O240" s="29"/>
      <c r="P240" s="29"/>
      <c r="Q240" s="29"/>
      <c r="R240" s="32"/>
      <c r="S240" s="32"/>
      <c r="T240" s="29"/>
      <c r="U240" s="40"/>
      <c r="V240" s="40"/>
      <c r="W240" s="10"/>
      <c r="X240" s="80"/>
      <c r="Y240" s="80"/>
      <c r="Z240" s="31"/>
      <c r="AA240" s="31"/>
      <c r="AB240" s="31"/>
      <c r="AC240" s="31"/>
      <c r="AD240" s="32"/>
      <c r="AE240" s="33"/>
      <c r="AF240" s="33"/>
      <c r="AG240" s="33"/>
      <c r="AH240" s="33"/>
      <c r="AI240" s="87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54"/>
      <c r="BZ240" s="54"/>
      <c r="CI240" s="22"/>
      <c r="CJ240" s="23"/>
      <c r="CK240" s="23"/>
      <c r="CL240" s="11"/>
      <c r="CM240" s="11"/>
      <c r="CN240" s="11"/>
      <c r="CO240" s="11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</row>
    <row r="241" spans="1:121" hidden="1" outlineLevel="1">
      <c r="A241" s="22"/>
      <c r="B241" s="27"/>
      <c r="C241" s="22"/>
      <c r="D241" s="22"/>
      <c r="E241" s="3"/>
      <c r="F241" s="3"/>
      <c r="G241" s="22"/>
      <c r="H241" s="27"/>
      <c r="I241" s="27"/>
      <c r="J241" s="29"/>
      <c r="K241" s="29"/>
      <c r="L241" s="29"/>
      <c r="M241" s="29"/>
      <c r="N241" s="29"/>
      <c r="O241" s="29"/>
      <c r="P241" s="29"/>
      <c r="Q241" s="29"/>
      <c r="R241" s="32"/>
      <c r="S241" s="32"/>
      <c r="T241" s="29"/>
      <c r="U241" s="40"/>
      <c r="V241" s="40"/>
      <c r="W241" s="10"/>
      <c r="X241" s="80"/>
      <c r="Y241" s="80"/>
      <c r="Z241" s="31"/>
      <c r="AA241" s="31"/>
      <c r="AB241" s="31"/>
      <c r="AC241" s="31"/>
      <c r="AD241" s="32"/>
      <c r="AE241" s="33"/>
      <c r="AF241" s="33"/>
      <c r="AG241" s="33"/>
      <c r="AH241" s="33"/>
      <c r="AI241" s="87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54"/>
      <c r="BZ241" s="54"/>
      <c r="CI241" s="22"/>
      <c r="CJ241" s="23"/>
      <c r="CK241" s="23"/>
      <c r="CL241" s="11"/>
      <c r="CM241" s="11"/>
      <c r="CN241" s="11"/>
      <c r="CO241" s="11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</row>
    <row r="242" spans="1:121" hidden="1" outlineLevel="1">
      <c r="A242" s="22"/>
      <c r="B242" s="27"/>
      <c r="C242" s="22"/>
      <c r="D242" s="22"/>
      <c r="E242" s="3"/>
      <c r="F242" s="3"/>
      <c r="G242" s="22"/>
      <c r="H242" s="27"/>
      <c r="I242" s="27"/>
      <c r="J242" s="29"/>
      <c r="K242" s="29"/>
      <c r="L242" s="29"/>
      <c r="M242" s="29"/>
      <c r="N242" s="29"/>
      <c r="O242" s="29"/>
      <c r="P242" s="29"/>
      <c r="Q242" s="29"/>
      <c r="R242" s="32"/>
      <c r="S242" s="32"/>
      <c r="T242" s="29"/>
      <c r="U242" s="40"/>
      <c r="V242" s="40"/>
      <c r="W242" s="10"/>
      <c r="X242" s="80"/>
      <c r="Y242" s="80"/>
      <c r="Z242" s="31"/>
      <c r="AA242" s="31"/>
      <c r="AB242" s="31"/>
      <c r="AC242" s="31"/>
      <c r="AD242" s="32"/>
      <c r="AE242" s="33"/>
      <c r="AF242" s="33"/>
      <c r="AG242" s="33"/>
      <c r="AH242" s="33"/>
      <c r="AI242" s="87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54"/>
      <c r="BZ242" s="54"/>
      <c r="CI242" s="22"/>
      <c r="CJ242" s="23"/>
      <c r="CK242" s="23"/>
      <c r="CL242" s="11"/>
      <c r="CM242" s="11"/>
      <c r="CN242" s="11"/>
      <c r="CO242" s="11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</row>
    <row r="243" spans="1:121" hidden="1" outlineLevel="1">
      <c r="A243" s="22"/>
      <c r="B243" s="27"/>
      <c r="C243" s="22"/>
      <c r="D243" s="22"/>
      <c r="E243" s="3"/>
      <c r="F243" s="3"/>
      <c r="G243" s="22"/>
      <c r="H243" s="27"/>
      <c r="I243" s="27"/>
      <c r="J243" s="29"/>
      <c r="K243" s="29"/>
      <c r="L243" s="29"/>
      <c r="M243" s="29"/>
      <c r="N243" s="29"/>
      <c r="O243" s="29"/>
      <c r="P243" s="29"/>
      <c r="Q243" s="29"/>
      <c r="R243" s="32"/>
      <c r="S243" s="32"/>
      <c r="T243" s="29"/>
      <c r="U243" s="40"/>
      <c r="V243" s="40"/>
      <c r="W243" s="10"/>
      <c r="X243" s="80"/>
      <c r="Y243" s="80"/>
      <c r="Z243" s="31"/>
      <c r="AA243" s="31"/>
      <c r="AB243" s="31"/>
      <c r="AC243" s="31"/>
      <c r="AD243" s="32"/>
      <c r="AE243" s="33"/>
      <c r="AF243" s="33"/>
      <c r="AG243" s="33"/>
      <c r="AH243" s="33"/>
      <c r="AI243" s="87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54"/>
      <c r="BZ243" s="54"/>
      <c r="CI243" s="22"/>
      <c r="CJ243" s="23"/>
      <c r="CK243" s="23"/>
      <c r="CL243" s="11"/>
      <c r="CM243" s="11"/>
      <c r="CN243" s="11"/>
      <c r="CO243" s="11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</row>
    <row r="244" spans="1:121" hidden="1" outlineLevel="1">
      <c r="A244" s="22"/>
      <c r="B244" s="27"/>
      <c r="C244" s="22"/>
      <c r="D244" s="22"/>
      <c r="E244" s="3"/>
      <c r="F244" s="3"/>
      <c r="G244" s="22"/>
      <c r="H244" s="27"/>
      <c r="I244" s="27"/>
      <c r="J244" s="29"/>
      <c r="K244" s="29"/>
      <c r="L244" s="29"/>
      <c r="M244" s="29"/>
      <c r="N244" s="29"/>
      <c r="O244" s="29"/>
      <c r="P244" s="29"/>
      <c r="Q244" s="29"/>
      <c r="R244" s="32"/>
      <c r="S244" s="32"/>
      <c r="T244" s="29"/>
      <c r="U244" s="40"/>
      <c r="V244" s="40"/>
      <c r="W244" s="10"/>
      <c r="X244" s="80"/>
      <c r="Y244" s="80"/>
      <c r="Z244" s="31"/>
      <c r="AA244" s="31"/>
      <c r="AB244" s="31"/>
      <c r="AC244" s="31"/>
      <c r="AD244" s="32"/>
      <c r="AE244" s="33"/>
      <c r="AF244" s="33"/>
      <c r="AG244" s="33"/>
      <c r="AH244" s="33"/>
      <c r="AI244" s="87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54"/>
      <c r="BZ244" s="54"/>
      <c r="CI244" s="22"/>
      <c r="CJ244" s="23"/>
      <c r="CK244" s="23"/>
      <c r="CL244" s="11"/>
      <c r="CM244" s="11"/>
      <c r="CN244" s="11"/>
      <c r="CO244" s="11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</row>
    <row r="245" spans="1:121" hidden="1" outlineLevel="1">
      <c r="A245" s="22"/>
      <c r="B245" s="27"/>
      <c r="C245" s="22"/>
      <c r="D245" s="22"/>
      <c r="E245" s="3"/>
      <c r="F245" s="3"/>
      <c r="G245" s="22"/>
      <c r="H245" s="27"/>
      <c r="I245" s="27"/>
      <c r="J245" s="29"/>
      <c r="K245" s="29"/>
      <c r="L245" s="29"/>
      <c r="M245" s="29"/>
      <c r="N245" s="29"/>
      <c r="O245" s="29"/>
      <c r="P245" s="29"/>
      <c r="Q245" s="29"/>
      <c r="R245" s="32"/>
      <c r="S245" s="32"/>
      <c r="T245" s="29"/>
      <c r="U245" s="40"/>
      <c r="V245" s="40"/>
      <c r="W245" s="10"/>
      <c r="X245" s="80"/>
      <c r="Y245" s="80"/>
      <c r="Z245" s="31"/>
      <c r="AA245" s="31"/>
      <c r="AB245" s="31"/>
      <c r="AC245" s="31"/>
      <c r="AD245" s="32"/>
      <c r="AE245" s="33"/>
      <c r="AF245" s="33"/>
      <c r="AG245" s="33"/>
      <c r="AH245" s="33"/>
      <c r="AI245" s="87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54"/>
      <c r="BZ245" s="54"/>
      <c r="CI245" s="22"/>
      <c r="CJ245" s="23"/>
      <c r="CK245" s="23"/>
      <c r="CL245" s="11"/>
      <c r="CM245" s="11"/>
      <c r="CN245" s="11"/>
      <c r="CO245" s="11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</row>
    <row r="246" spans="1:121" hidden="1" outlineLevel="1">
      <c r="A246" s="22"/>
      <c r="B246" s="27"/>
      <c r="C246" s="22"/>
      <c r="D246" s="22"/>
      <c r="E246" s="3"/>
      <c r="F246" s="3"/>
      <c r="G246" s="22"/>
      <c r="H246" s="27"/>
      <c r="I246" s="27"/>
      <c r="J246" s="29"/>
      <c r="K246" s="29"/>
      <c r="L246" s="29"/>
      <c r="M246" s="29"/>
      <c r="N246" s="29"/>
      <c r="O246" s="29"/>
      <c r="P246" s="29"/>
      <c r="Q246" s="29"/>
      <c r="R246" s="32"/>
      <c r="S246" s="32"/>
      <c r="T246" s="29"/>
      <c r="U246" s="40"/>
      <c r="V246" s="40"/>
      <c r="W246" s="10"/>
      <c r="X246" s="80"/>
      <c r="Y246" s="80"/>
      <c r="Z246" s="31"/>
      <c r="AA246" s="31"/>
      <c r="AB246" s="31"/>
      <c r="AC246" s="31"/>
      <c r="AD246" s="32"/>
      <c r="AE246" s="33"/>
      <c r="AF246" s="33"/>
      <c r="AG246" s="33"/>
      <c r="AH246" s="33"/>
      <c r="AI246" s="87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54"/>
      <c r="BZ246" s="54"/>
      <c r="CI246" s="22"/>
      <c r="CJ246" s="23"/>
      <c r="CK246" s="23"/>
      <c r="CL246" s="11"/>
      <c r="CM246" s="11"/>
      <c r="CN246" s="11"/>
      <c r="CO246" s="11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</row>
    <row r="247" spans="1:121" hidden="1" outlineLevel="1">
      <c r="A247" s="22"/>
      <c r="B247" s="27"/>
      <c r="C247" s="22"/>
      <c r="D247" s="22"/>
      <c r="E247" s="3"/>
      <c r="F247" s="3"/>
      <c r="G247" s="22"/>
      <c r="H247" s="27"/>
      <c r="I247" s="27"/>
      <c r="J247" s="29"/>
      <c r="K247" s="29"/>
      <c r="L247" s="29"/>
      <c r="M247" s="29"/>
      <c r="N247" s="29"/>
      <c r="O247" s="29"/>
      <c r="P247" s="29"/>
      <c r="Q247" s="29"/>
      <c r="R247" s="32"/>
      <c r="S247" s="32"/>
      <c r="T247" s="29"/>
      <c r="U247" s="40"/>
      <c r="V247" s="40"/>
      <c r="W247" s="10"/>
      <c r="X247" s="80"/>
      <c r="Y247" s="80"/>
      <c r="Z247" s="31"/>
      <c r="AA247" s="31"/>
      <c r="AB247" s="31"/>
      <c r="AC247" s="31"/>
      <c r="AD247" s="32"/>
      <c r="AE247" s="33"/>
      <c r="AF247" s="33"/>
      <c r="AG247" s="33"/>
      <c r="AH247" s="33"/>
      <c r="AI247" s="87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54"/>
      <c r="BZ247" s="54"/>
      <c r="CI247" s="22"/>
      <c r="CJ247" s="23"/>
      <c r="CK247" s="23"/>
      <c r="CL247" s="11"/>
      <c r="CM247" s="11"/>
      <c r="CN247" s="11"/>
      <c r="CO247" s="11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</row>
    <row r="248" spans="1:121" s="60" customFormat="1" ht="15" customHeight="1" collapsed="1">
      <c r="A248" s="248"/>
      <c r="B248" s="110"/>
      <c r="C248" s="248" t="s">
        <v>16</v>
      </c>
      <c r="D248" s="248"/>
      <c r="E248" s="249"/>
      <c r="F248" s="249"/>
      <c r="G248" s="111">
        <f>SUM(G7:G61)</f>
        <v>47</v>
      </c>
      <c r="H248" s="250"/>
      <c r="I248" s="250"/>
      <c r="J248" s="111">
        <f t="shared" ref="J248:AO248" si="41">SUM(J7:J61)</f>
        <v>1624660</v>
      </c>
      <c r="K248" s="111">
        <f t="shared" si="41"/>
        <v>81777</v>
      </c>
      <c r="L248" s="111">
        <f t="shared" si="41"/>
        <v>62877</v>
      </c>
      <c r="M248" s="111">
        <f t="shared" si="41"/>
        <v>29039</v>
      </c>
      <c r="N248" s="111">
        <f t="shared" si="41"/>
        <v>6557</v>
      </c>
      <c r="O248" s="111">
        <f t="shared" si="41"/>
        <v>12940</v>
      </c>
      <c r="P248" s="111">
        <f t="shared" si="41"/>
        <v>6733</v>
      </c>
      <c r="Q248" s="111">
        <f t="shared" si="41"/>
        <v>11660</v>
      </c>
      <c r="R248" s="251">
        <f t="shared" si="41"/>
        <v>318463.60000000003</v>
      </c>
      <c r="S248" s="111">
        <f t="shared" si="41"/>
        <v>198961.05999999997</v>
      </c>
      <c r="T248" s="111">
        <f t="shared" si="41"/>
        <v>4769</v>
      </c>
      <c r="U248" s="111">
        <f t="shared" si="41"/>
        <v>268919.28999999998</v>
      </c>
      <c r="V248" s="111">
        <f t="shared" si="41"/>
        <v>164992.87</v>
      </c>
      <c r="W248" s="111">
        <f t="shared" si="41"/>
        <v>1787</v>
      </c>
      <c r="X248" s="251">
        <f t="shared" si="41"/>
        <v>48775.510000000017</v>
      </c>
      <c r="Y248" s="251">
        <f t="shared" si="41"/>
        <v>33387.509999999995</v>
      </c>
      <c r="Z248" s="111">
        <f t="shared" si="41"/>
        <v>1</v>
      </c>
      <c r="AA248" s="111">
        <f t="shared" si="41"/>
        <v>768.8</v>
      </c>
      <c r="AB248" s="111">
        <f t="shared" si="41"/>
        <v>580.67999999999995</v>
      </c>
      <c r="AC248" s="251">
        <f t="shared" si="41"/>
        <v>37478.30999999999</v>
      </c>
      <c r="AD248" s="252">
        <f t="shared" si="41"/>
        <v>20836.440000000002</v>
      </c>
      <c r="AE248" s="111">
        <f t="shared" si="41"/>
        <v>0</v>
      </c>
      <c r="AF248" s="251">
        <f t="shared" si="41"/>
        <v>20836.440000000002</v>
      </c>
      <c r="AG248" s="251">
        <f t="shared" si="41"/>
        <v>13186.92</v>
      </c>
      <c r="AH248" s="251">
        <f t="shared" si="41"/>
        <v>3454.9500000000003</v>
      </c>
      <c r="AI248" s="251">
        <f t="shared" si="41"/>
        <v>355941.91000000009</v>
      </c>
      <c r="AJ248" s="111">
        <f t="shared" si="41"/>
        <v>0</v>
      </c>
      <c r="AK248" s="111">
        <f t="shared" si="41"/>
        <v>82</v>
      </c>
      <c r="AL248" s="111">
        <f t="shared" si="41"/>
        <v>187</v>
      </c>
      <c r="AM248" s="111">
        <f t="shared" si="41"/>
        <v>76</v>
      </c>
      <c r="AN248" s="111">
        <f t="shared" si="41"/>
        <v>0</v>
      </c>
      <c r="AO248" s="111">
        <f t="shared" si="41"/>
        <v>106</v>
      </c>
      <c r="AP248" s="111">
        <f t="shared" ref="AP248:BU248" si="42">SUM(AP7:AP61)</f>
        <v>267850</v>
      </c>
      <c r="AQ248" s="111">
        <f t="shared" si="42"/>
        <v>25182</v>
      </c>
      <c r="AR248" s="111">
        <f t="shared" si="42"/>
        <v>22776</v>
      </c>
      <c r="AS248" s="111">
        <f t="shared" si="42"/>
        <v>18179</v>
      </c>
      <c r="AT248" s="111">
        <f t="shared" si="42"/>
        <v>19153</v>
      </c>
      <c r="AU248" s="111">
        <f t="shared" si="42"/>
        <v>408963</v>
      </c>
      <c r="AV248" s="111">
        <f t="shared" si="42"/>
        <v>112316</v>
      </c>
      <c r="AW248" s="111">
        <f t="shared" si="42"/>
        <v>296647</v>
      </c>
      <c r="AX248" s="111">
        <f t="shared" si="42"/>
        <v>74427</v>
      </c>
      <c r="AY248" s="111">
        <f t="shared" si="42"/>
        <v>10402</v>
      </c>
      <c r="AZ248" s="111">
        <f t="shared" si="42"/>
        <v>78802</v>
      </c>
      <c r="BA248" s="111">
        <f t="shared" si="42"/>
        <v>78802</v>
      </c>
      <c r="BB248" s="111">
        <f t="shared" si="42"/>
        <v>1935</v>
      </c>
      <c r="BC248" s="111">
        <f t="shared" si="42"/>
        <v>812</v>
      </c>
      <c r="BD248" s="111">
        <f t="shared" si="42"/>
        <v>17361</v>
      </c>
      <c r="BE248" s="111">
        <f t="shared" si="42"/>
        <v>47169</v>
      </c>
      <c r="BF248" s="111">
        <f t="shared" si="42"/>
        <v>13</v>
      </c>
      <c r="BG248" s="111">
        <f t="shared" si="42"/>
        <v>475920</v>
      </c>
      <c r="BH248" s="111">
        <f t="shared" si="42"/>
        <v>119024</v>
      </c>
      <c r="BI248" s="111">
        <f t="shared" si="42"/>
        <v>6020</v>
      </c>
      <c r="BJ248" s="111">
        <f t="shared" si="42"/>
        <v>25</v>
      </c>
      <c r="BK248" s="111">
        <f t="shared" si="42"/>
        <v>141041.37</v>
      </c>
      <c r="BL248" s="111">
        <f t="shared" si="42"/>
        <v>84781.45</v>
      </c>
      <c r="BM248" s="111">
        <f t="shared" si="42"/>
        <v>19</v>
      </c>
      <c r="BN248" s="111">
        <f t="shared" si="42"/>
        <v>129684.03000000001</v>
      </c>
      <c r="BO248" s="111">
        <f t="shared" si="42"/>
        <v>84903.310000000012</v>
      </c>
      <c r="BP248" s="111">
        <f t="shared" si="42"/>
        <v>3</v>
      </c>
      <c r="BQ248" s="111">
        <f t="shared" si="42"/>
        <v>47738.200000000004</v>
      </c>
      <c r="BR248" s="111">
        <f t="shared" si="42"/>
        <v>29276.3</v>
      </c>
      <c r="BS248" s="111">
        <f t="shared" si="42"/>
        <v>0</v>
      </c>
      <c r="BT248" s="111">
        <f t="shared" si="42"/>
        <v>128</v>
      </c>
      <c r="BU248" s="111">
        <f t="shared" si="42"/>
        <v>46577</v>
      </c>
      <c r="BV248" s="111">
        <f t="shared" ref="BV248:CH248" si="43">SUM(BV7:BV61)</f>
        <v>146825</v>
      </c>
      <c r="BW248" s="111">
        <f t="shared" si="43"/>
        <v>40</v>
      </c>
      <c r="BX248" s="111">
        <f t="shared" si="43"/>
        <v>142268</v>
      </c>
      <c r="BY248" s="251">
        <f t="shared" si="43"/>
        <v>64057.119999999995</v>
      </c>
      <c r="BZ248" s="251">
        <f t="shared" si="43"/>
        <v>53792.71</v>
      </c>
      <c r="CA248" s="111">
        <f t="shared" si="43"/>
        <v>193730</v>
      </c>
      <c r="CB248" s="111">
        <f t="shared" si="43"/>
        <v>111953</v>
      </c>
      <c r="CC248" s="111">
        <f t="shared" si="43"/>
        <v>6</v>
      </c>
      <c r="CD248" s="111">
        <f t="shared" si="43"/>
        <v>112316</v>
      </c>
      <c r="CE248" s="111">
        <f t="shared" si="43"/>
        <v>41</v>
      </c>
      <c r="CF248" s="111">
        <f t="shared" si="43"/>
        <v>296647</v>
      </c>
      <c r="CG248" s="111">
        <f t="shared" si="43"/>
        <v>47</v>
      </c>
      <c r="CH248" s="253">
        <f t="shared" si="43"/>
        <v>408963</v>
      </c>
      <c r="CI248" s="252">
        <f>(SUM(CI7:CI61))/G248</f>
        <v>42.702127659574465</v>
      </c>
      <c r="CJ248" s="111">
        <f>SUM(CJ7:CJ61)</f>
        <v>7</v>
      </c>
      <c r="CK248" s="251">
        <f>SUM(CK7:CK61)</f>
        <v>33974.39</v>
      </c>
      <c r="CL248" s="254"/>
      <c r="CM248" s="111">
        <f>SUM(CM7:CM61)</f>
        <v>8</v>
      </c>
      <c r="CN248" s="251">
        <f>SUM(CN7:CN61)</f>
        <v>42152.369999999995</v>
      </c>
      <c r="CO248" s="254"/>
      <c r="CP248" s="111">
        <f t="shared" ref="CP248:DQ248" si="44">SUM(CP7:CP61)</f>
        <v>47</v>
      </c>
      <c r="CQ248" s="111">
        <f t="shared" si="44"/>
        <v>2</v>
      </c>
      <c r="CR248" s="111">
        <f t="shared" si="44"/>
        <v>2</v>
      </c>
      <c r="CS248" s="111">
        <f t="shared" si="44"/>
        <v>5</v>
      </c>
      <c r="CT248" s="111">
        <f t="shared" si="44"/>
        <v>112</v>
      </c>
      <c r="CU248" s="111">
        <f t="shared" si="44"/>
        <v>0</v>
      </c>
      <c r="CV248" s="111">
        <f t="shared" si="44"/>
        <v>0</v>
      </c>
      <c r="CW248" s="111">
        <f t="shared" si="44"/>
        <v>8</v>
      </c>
      <c r="CX248" s="111">
        <f t="shared" si="44"/>
        <v>5</v>
      </c>
      <c r="CY248" s="111">
        <f t="shared" si="44"/>
        <v>6539</v>
      </c>
      <c r="CZ248" s="111">
        <f t="shared" si="44"/>
        <v>5009</v>
      </c>
      <c r="DA248" s="111">
        <f t="shared" si="44"/>
        <v>1495</v>
      </c>
      <c r="DB248" s="111">
        <f t="shared" si="44"/>
        <v>4050</v>
      </c>
      <c r="DC248" s="111">
        <f t="shared" si="44"/>
        <v>2363</v>
      </c>
      <c r="DD248" s="111">
        <f t="shared" si="44"/>
        <v>7299</v>
      </c>
      <c r="DE248" s="111">
        <f t="shared" si="44"/>
        <v>2873</v>
      </c>
      <c r="DF248" s="111">
        <f t="shared" si="44"/>
        <v>2363</v>
      </c>
      <c r="DG248" s="111">
        <f t="shared" si="44"/>
        <v>7312</v>
      </c>
      <c r="DH248" s="111">
        <f t="shared" si="44"/>
        <v>2944</v>
      </c>
      <c r="DI248" s="111">
        <f t="shared" si="44"/>
        <v>545</v>
      </c>
      <c r="DJ248" s="111">
        <f t="shared" si="44"/>
        <v>249</v>
      </c>
      <c r="DK248" s="111">
        <f t="shared" si="44"/>
        <v>1523</v>
      </c>
      <c r="DL248" s="111">
        <f t="shared" si="44"/>
        <v>262</v>
      </c>
      <c r="DM248" s="111">
        <f t="shared" si="44"/>
        <v>249</v>
      </c>
      <c r="DN248" s="111">
        <f t="shared" si="44"/>
        <v>1524</v>
      </c>
      <c r="DO248" s="111">
        <f t="shared" si="44"/>
        <v>283</v>
      </c>
      <c r="DP248" s="111">
        <f t="shared" si="44"/>
        <v>6539</v>
      </c>
      <c r="DQ248" s="111">
        <f t="shared" si="44"/>
        <v>5323</v>
      </c>
    </row>
    <row r="249" spans="1:121" s="18" customFormat="1" ht="13.2" customHeight="1">
      <c r="B249" s="255"/>
      <c r="C249" s="256"/>
      <c r="D249" s="68"/>
      <c r="E249" s="69"/>
      <c r="F249" s="69"/>
      <c r="G249" s="70"/>
      <c r="H249" s="68"/>
      <c r="I249" s="68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L249" s="257"/>
      <c r="CO249" s="257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</row>
    <row r="250" spans="1:121" s="60" customFormat="1" ht="13.95" customHeight="1">
      <c r="B250" s="61"/>
      <c r="C250" s="62" t="s">
        <v>15</v>
      </c>
      <c r="D250" s="63"/>
      <c r="E250" s="64"/>
      <c r="F250" s="64"/>
      <c r="G250" s="65">
        <f>G251+G252+G253+G254+G255+G256+G257+G258</f>
        <v>47</v>
      </c>
      <c r="H250" s="63"/>
      <c r="I250" s="63"/>
      <c r="J250" s="65">
        <f t="shared" ref="J250:BU250" si="45">J251+J252+J253+J254+J255+J256+J257+J258</f>
        <v>1624660</v>
      </c>
      <c r="K250" s="65">
        <f t="shared" si="45"/>
        <v>81777</v>
      </c>
      <c r="L250" s="65">
        <f t="shared" si="45"/>
        <v>62877</v>
      </c>
      <c r="M250" s="65">
        <f t="shared" si="45"/>
        <v>29039</v>
      </c>
      <c r="N250" s="65">
        <f t="shared" si="45"/>
        <v>6557</v>
      </c>
      <c r="O250" s="65">
        <f t="shared" si="45"/>
        <v>12940</v>
      </c>
      <c r="P250" s="65">
        <f t="shared" si="45"/>
        <v>6733</v>
      </c>
      <c r="Q250" s="65">
        <f t="shared" si="45"/>
        <v>11660</v>
      </c>
      <c r="R250" s="65">
        <f t="shared" si="45"/>
        <v>318463.59999999998</v>
      </c>
      <c r="S250" s="65">
        <f t="shared" si="45"/>
        <v>198961.06</v>
      </c>
      <c r="T250" s="65">
        <f t="shared" si="45"/>
        <v>4769</v>
      </c>
      <c r="U250" s="65">
        <f t="shared" si="45"/>
        <v>268919.28999999998</v>
      </c>
      <c r="V250" s="65">
        <f t="shared" si="45"/>
        <v>164992.87</v>
      </c>
      <c r="W250" s="65">
        <f t="shared" si="45"/>
        <v>1787</v>
      </c>
      <c r="X250" s="65">
        <f t="shared" si="45"/>
        <v>48775.510000000009</v>
      </c>
      <c r="Y250" s="65">
        <f t="shared" si="45"/>
        <v>33387.51</v>
      </c>
      <c r="Z250" s="65">
        <f t="shared" si="45"/>
        <v>1</v>
      </c>
      <c r="AA250" s="65">
        <f t="shared" si="45"/>
        <v>768.8</v>
      </c>
      <c r="AB250" s="65">
        <f t="shared" si="45"/>
        <v>580.67999999999995</v>
      </c>
      <c r="AC250" s="65">
        <f t="shared" si="45"/>
        <v>37478.31</v>
      </c>
      <c r="AD250" s="106">
        <f t="shared" si="45"/>
        <v>20836.439999999999</v>
      </c>
      <c r="AE250" s="65">
        <f t="shared" si="45"/>
        <v>0</v>
      </c>
      <c r="AF250" s="106">
        <f t="shared" si="45"/>
        <v>20836.439999999999</v>
      </c>
      <c r="AG250" s="65">
        <f t="shared" si="45"/>
        <v>13186.919999999998</v>
      </c>
      <c r="AH250" s="65">
        <f t="shared" si="45"/>
        <v>3454.9500000000003</v>
      </c>
      <c r="AI250" s="65">
        <f t="shared" si="45"/>
        <v>355941.91</v>
      </c>
      <c r="AJ250" s="65">
        <f t="shared" si="45"/>
        <v>0</v>
      </c>
      <c r="AK250" s="65">
        <f t="shared" si="45"/>
        <v>82</v>
      </c>
      <c r="AL250" s="65">
        <f t="shared" si="45"/>
        <v>187</v>
      </c>
      <c r="AM250" s="65">
        <f t="shared" si="45"/>
        <v>76</v>
      </c>
      <c r="AN250" s="65">
        <f t="shared" si="45"/>
        <v>0</v>
      </c>
      <c r="AO250" s="65">
        <f t="shared" si="45"/>
        <v>106</v>
      </c>
      <c r="AP250" s="65">
        <f t="shared" si="45"/>
        <v>267850</v>
      </c>
      <c r="AQ250" s="65">
        <f t="shared" si="45"/>
        <v>25182</v>
      </c>
      <c r="AR250" s="65">
        <f t="shared" si="45"/>
        <v>22776</v>
      </c>
      <c r="AS250" s="65">
        <f t="shared" si="45"/>
        <v>18179</v>
      </c>
      <c r="AT250" s="65">
        <f t="shared" si="45"/>
        <v>19153</v>
      </c>
      <c r="AU250" s="65">
        <f t="shared" si="45"/>
        <v>408963</v>
      </c>
      <c r="AV250" s="65">
        <f t="shared" si="45"/>
        <v>112316</v>
      </c>
      <c r="AW250" s="65">
        <f t="shared" si="45"/>
        <v>296647</v>
      </c>
      <c r="AX250" s="65">
        <f t="shared" si="45"/>
        <v>74427</v>
      </c>
      <c r="AY250" s="65">
        <f t="shared" si="45"/>
        <v>10402</v>
      </c>
      <c r="AZ250" s="65">
        <f t="shared" si="45"/>
        <v>78802</v>
      </c>
      <c r="BA250" s="65">
        <f t="shared" si="45"/>
        <v>78802</v>
      </c>
      <c r="BB250" s="65">
        <f t="shared" si="45"/>
        <v>1935</v>
      </c>
      <c r="BC250" s="65">
        <f t="shared" si="45"/>
        <v>812</v>
      </c>
      <c r="BD250" s="65">
        <f t="shared" si="45"/>
        <v>17361</v>
      </c>
      <c r="BE250" s="65">
        <f t="shared" si="45"/>
        <v>47169</v>
      </c>
      <c r="BF250" s="65">
        <f t="shared" si="45"/>
        <v>13</v>
      </c>
      <c r="BG250" s="65">
        <f t="shared" si="45"/>
        <v>475920</v>
      </c>
      <c r="BH250" s="65">
        <f t="shared" si="45"/>
        <v>119024</v>
      </c>
      <c r="BI250" s="65">
        <f t="shared" si="45"/>
        <v>6020</v>
      </c>
      <c r="BJ250" s="99">
        <f t="shared" si="45"/>
        <v>25</v>
      </c>
      <c r="BK250" s="99">
        <f t="shared" si="45"/>
        <v>141041.37</v>
      </c>
      <c r="BL250" s="99">
        <f t="shared" si="45"/>
        <v>84781.45</v>
      </c>
      <c r="BM250" s="99">
        <f t="shared" si="45"/>
        <v>19</v>
      </c>
      <c r="BN250" s="99">
        <f t="shared" si="45"/>
        <v>129684.02999999998</v>
      </c>
      <c r="BO250" s="99">
        <f t="shared" si="45"/>
        <v>84903.31</v>
      </c>
      <c r="BP250" s="99">
        <f t="shared" si="45"/>
        <v>3</v>
      </c>
      <c r="BQ250" s="99">
        <f t="shared" si="45"/>
        <v>47738.200000000004</v>
      </c>
      <c r="BR250" s="99">
        <f t="shared" si="45"/>
        <v>29276.3</v>
      </c>
      <c r="BS250" s="65">
        <f t="shared" si="45"/>
        <v>0</v>
      </c>
      <c r="BT250" s="65">
        <f t="shared" si="45"/>
        <v>128</v>
      </c>
      <c r="BU250" s="65">
        <f t="shared" si="45"/>
        <v>46577</v>
      </c>
      <c r="BV250" s="65">
        <f t="shared" ref="BV250:CK250" si="46">BV251+BV252+BV253+BV254+BV255+BV256+BV257+BV258</f>
        <v>146825</v>
      </c>
      <c r="BW250" s="65">
        <f t="shared" si="46"/>
        <v>40</v>
      </c>
      <c r="BX250" s="65">
        <f t="shared" si="46"/>
        <v>142268</v>
      </c>
      <c r="BY250" s="65">
        <f t="shared" si="46"/>
        <v>64057.119999999995</v>
      </c>
      <c r="BZ250" s="65">
        <f t="shared" si="46"/>
        <v>53792.710000000006</v>
      </c>
      <c r="CA250" s="65">
        <f t="shared" si="46"/>
        <v>193730</v>
      </c>
      <c r="CB250" s="65">
        <f t="shared" si="46"/>
        <v>111953</v>
      </c>
      <c r="CC250" s="65">
        <f t="shared" si="46"/>
        <v>6</v>
      </c>
      <c r="CD250" s="65">
        <f t="shared" si="46"/>
        <v>112316</v>
      </c>
      <c r="CE250" s="65">
        <f t="shared" si="46"/>
        <v>41</v>
      </c>
      <c r="CF250" s="65">
        <f t="shared" si="46"/>
        <v>296647</v>
      </c>
      <c r="CG250" s="65">
        <f t="shared" si="46"/>
        <v>47</v>
      </c>
      <c r="CH250" s="65">
        <f t="shared" si="46"/>
        <v>408963</v>
      </c>
      <c r="CI250" s="258">
        <f t="shared" si="46"/>
        <v>1117</v>
      </c>
      <c r="CJ250" s="99">
        <f t="shared" si="46"/>
        <v>7</v>
      </c>
      <c r="CK250" s="99">
        <f t="shared" si="46"/>
        <v>33974.39</v>
      </c>
      <c r="CL250" s="259"/>
      <c r="CM250" s="99">
        <f t="shared" ref="CM250:CN250" si="47">CM251+CM252+CM253+CM254+CM255+CM256+CM257+CM258</f>
        <v>8</v>
      </c>
      <c r="CN250" s="99">
        <f t="shared" si="47"/>
        <v>42152.369999999995</v>
      </c>
      <c r="CO250" s="259"/>
      <c r="CP250" s="65">
        <f t="shared" ref="CP250:DQ250" si="48">CP251+CP252+CP253+CP254+CP255+CP256+CP257+CP258</f>
        <v>47</v>
      </c>
      <c r="CQ250" s="65">
        <f t="shared" si="48"/>
        <v>2</v>
      </c>
      <c r="CR250" s="65">
        <f t="shared" si="48"/>
        <v>2</v>
      </c>
      <c r="CS250" s="65">
        <f t="shared" si="48"/>
        <v>5</v>
      </c>
      <c r="CT250" s="65">
        <f t="shared" si="48"/>
        <v>112</v>
      </c>
      <c r="CU250" s="65">
        <f t="shared" si="48"/>
        <v>0</v>
      </c>
      <c r="CV250" s="65">
        <f t="shared" si="48"/>
        <v>0</v>
      </c>
      <c r="CW250" s="65">
        <f t="shared" si="48"/>
        <v>8</v>
      </c>
      <c r="CX250" s="65">
        <f t="shared" si="48"/>
        <v>5</v>
      </c>
      <c r="CY250" s="65">
        <f t="shared" si="48"/>
        <v>6539</v>
      </c>
      <c r="CZ250" s="65">
        <f t="shared" si="48"/>
        <v>5009</v>
      </c>
      <c r="DA250" s="65">
        <f t="shared" si="48"/>
        <v>1495</v>
      </c>
      <c r="DB250" s="65">
        <f t="shared" si="48"/>
        <v>4050</v>
      </c>
      <c r="DC250" s="65">
        <f t="shared" si="48"/>
        <v>2363</v>
      </c>
      <c r="DD250" s="65">
        <f t="shared" si="48"/>
        <v>7299</v>
      </c>
      <c r="DE250" s="65">
        <f t="shared" si="48"/>
        <v>2873</v>
      </c>
      <c r="DF250" s="65">
        <f t="shared" si="48"/>
        <v>2363</v>
      </c>
      <c r="DG250" s="65">
        <f t="shared" si="48"/>
        <v>7312</v>
      </c>
      <c r="DH250" s="65">
        <f t="shared" si="48"/>
        <v>2944</v>
      </c>
      <c r="DI250" s="65">
        <f t="shared" si="48"/>
        <v>545</v>
      </c>
      <c r="DJ250" s="65">
        <f t="shared" si="48"/>
        <v>249</v>
      </c>
      <c r="DK250" s="65">
        <f t="shared" si="48"/>
        <v>1523</v>
      </c>
      <c r="DL250" s="65">
        <f t="shared" si="48"/>
        <v>262</v>
      </c>
      <c r="DM250" s="65">
        <f t="shared" si="48"/>
        <v>249</v>
      </c>
      <c r="DN250" s="65">
        <f t="shared" si="48"/>
        <v>1524</v>
      </c>
      <c r="DO250" s="65">
        <f t="shared" si="48"/>
        <v>283</v>
      </c>
      <c r="DP250" s="65">
        <f t="shared" si="48"/>
        <v>6539</v>
      </c>
      <c r="DQ250" s="65">
        <f t="shared" si="48"/>
        <v>5323</v>
      </c>
    </row>
    <row r="251" spans="1:121" s="18" customFormat="1">
      <c r="B251" s="66"/>
      <c r="C251" s="67" t="s">
        <v>10</v>
      </c>
      <c r="D251" s="68"/>
      <c r="E251" s="69"/>
      <c r="F251" s="69"/>
      <c r="G251" s="70"/>
      <c r="H251" s="260">
        <v>5</v>
      </c>
      <c r="I251" s="71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107"/>
      <c r="AE251" s="70"/>
      <c r="AF251" s="107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261"/>
      <c r="CJ251" s="100"/>
      <c r="CK251" s="100"/>
      <c r="CL251" s="262"/>
      <c r="CM251" s="100"/>
      <c r="CN251" s="100"/>
      <c r="CO251" s="262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</row>
    <row r="252" spans="1:121" s="18" customFormat="1">
      <c r="B252" s="66"/>
      <c r="C252" s="67" t="s">
        <v>11</v>
      </c>
      <c r="D252" s="68"/>
      <c r="E252" s="69"/>
      <c r="F252" s="69"/>
      <c r="G252" s="70">
        <f>G37+G38</f>
        <v>2</v>
      </c>
      <c r="H252" s="260">
        <v>9</v>
      </c>
      <c r="I252" s="71"/>
      <c r="J252" s="70">
        <f t="shared" ref="J252:AO252" si="49">J37+J38</f>
        <v>32845</v>
      </c>
      <c r="K252" s="70">
        <f t="shared" si="49"/>
        <v>2415</v>
      </c>
      <c r="L252" s="70">
        <f t="shared" si="49"/>
        <v>0</v>
      </c>
      <c r="M252" s="70">
        <f t="shared" si="49"/>
        <v>2302</v>
      </c>
      <c r="N252" s="70">
        <f t="shared" si="49"/>
        <v>159</v>
      </c>
      <c r="O252" s="70">
        <f t="shared" si="49"/>
        <v>351</v>
      </c>
      <c r="P252" s="70">
        <f t="shared" si="49"/>
        <v>163</v>
      </c>
      <c r="Q252" s="70">
        <f t="shared" si="49"/>
        <v>295</v>
      </c>
      <c r="R252" s="72">
        <f t="shared" si="49"/>
        <v>8299.7000000000007</v>
      </c>
      <c r="S252" s="70">
        <f t="shared" si="49"/>
        <v>4773.3999999999996</v>
      </c>
      <c r="T252" s="70">
        <f t="shared" si="49"/>
        <v>144</v>
      </c>
      <c r="U252" s="70">
        <f t="shared" si="49"/>
        <v>7448.2000000000007</v>
      </c>
      <c r="V252" s="70">
        <f t="shared" si="49"/>
        <v>4277.3999999999996</v>
      </c>
      <c r="W252" s="70">
        <f t="shared" si="49"/>
        <v>15</v>
      </c>
      <c r="X252" s="70">
        <f t="shared" si="49"/>
        <v>851.5</v>
      </c>
      <c r="Y252" s="70">
        <f t="shared" si="49"/>
        <v>496</v>
      </c>
      <c r="Z252" s="70">
        <f t="shared" si="49"/>
        <v>0</v>
      </c>
      <c r="AA252" s="70">
        <f t="shared" si="49"/>
        <v>0</v>
      </c>
      <c r="AB252" s="70">
        <f t="shared" si="49"/>
        <v>0</v>
      </c>
      <c r="AC252" s="70">
        <f t="shared" si="49"/>
        <v>1387.9</v>
      </c>
      <c r="AD252" s="107">
        <f t="shared" si="49"/>
        <v>945.7</v>
      </c>
      <c r="AE252" s="70">
        <f t="shared" si="49"/>
        <v>0</v>
      </c>
      <c r="AF252" s="107">
        <f t="shared" si="49"/>
        <v>945.7</v>
      </c>
      <c r="AG252" s="70">
        <f t="shared" si="49"/>
        <v>442.20000000000005</v>
      </c>
      <c r="AH252" s="70">
        <f t="shared" si="49"/>
        <v>0</v>
      </c>
      <c r="AI252" s="70">
        <f t="shared" si="49"/>
        <v>9687.6</v>
      </c>
      <c r="AJ252" s="70">
        <f t="shared" si="49"/>
        <v>0</v>
      </c>
      <c r="AK252" s="70">
        <f t="shared" si="49"/>
        <v>5</v>
      </c>
      <c r="AL252" s="70">
        <f t="shared" si="49"/>
        <v>5</v>
      </c>
      <c r="AM252" s="70">
        <f t="shared" si="49"/>
        <v>5</v>
      </c>
      <c r="AN252" s="70">
        <f t="shared" si="49"/>
        <v>0</v>
      </c>
      <c r="AO252" s="70">
        <f t="shared" si="49"/>
        <v>5</v>
      </c>
      <c r="AP252" s="70">
        <f t="shared" ref="AP252:BU252" si="50">AP37+AP38</f>
        <v>9360</v>
      </c>
      <c r="AQ252" s="70">
        <f t="shared" si="50"/>
        <v>1166</v>
      </c>
      <c r="AR252" s="70">
        <f t="shared" si="50"/>
        <v>555</v>
      </c>
      <c r="AS252" s="70">
        <f t="shared" si="50"/>
        <v>496</v>
      </c>
      <c r="AT252" s="70">
        <f t="shared" si="50"/>
        <v>350</v>
      </c>
      <c r="AU252" s="70">
        <f t="shared" si="50"/>
        <v>10600</v>
      </c>
      <c r="AV252" s="70">
        <f t="shared" si="50"/>
        <v>0</v>
      </c>
      <c r="AW252" s="70">
        <f t="shared" si="50"/>
        <v>10600</v>
      </c>
      <c r="AX252" s="70">
        <f t="shared" si="50"/>
        <v>0</v>
      </c>
      <c r="AY252" s="70">
        <f t="shared" si="50"/>
        <v>469</v>
      </c>
      <c r="AZ252" s="70">
        <f t="shared" si="50"/>
        <v>2090</v>
      </c>
      <c r="BA252" s="70">
        <f t="shared" si="50"/>
        <v>2090</v>
      </c>
      <c r="BB252" s="70">
        <f t="shared" si="50"/>
        <v>0</v>
      </c>
      <c r="BC252" s="70">
        <f t="shared" si="50"/>
        <v>10</v>
      </c>
      <c r="BD252" s="70">
        <f t="shared" si="50"/>
        <v>493</v>
      </c>
      <c r="BE252" s="70">
        <f t="shared" si="50"/>
        <v>1238</v>
      </c>
      <c r="BF252" s="70">
        <f t="shared" si="50"/>
        <v>0</v>
      </c>
      <c r="BG252" s="70">
        <f t="shared" si="50"/>
        <v>28500</v>
      </c>
      <c r="BH252" s="70">
        <f t="shared" si="50"/>
        <v>8175</v>
      </c>
      <c r="BI252" s="70">
        <f t="shared" si="50"/>
        <v>225</v>
      </c>
      <c r="BJ252" s="100">
        <f t="shared" si="50"/>
        <v>2</v>
      </c>
      <c r="BK252" s="100">
        <f t="shared" si="50"/>
        <v>8299.7000000000007</v>
      </c>
      <c r="BL252" s="100">
        <f t="shared" si="50"/>
        <v>4773.3999999999996</v>
      </c>
      <c r="BM252" s="100">
        <f t="shared" si="50"/>
        <v>0</v>
      </c>
      <c r="BN252" s="100">
        <f t="shared" si="50"/>
        <v>0</v>
      </c>
      <c r="BO252" s="100">
        <f t="shared" si="50"/>
        <v>0</v>
      </c>
      <c r="BP252" s="100">
        <f t="shared" si="50"/>
        <v>0</v>
      </c>
      <c r="BQ252" s="100">
        <f t="shared" si="50"/>
        <v>0</v>
      </c>
      <c r="BR252" s="100">
        <f t="shared" si="50"/>
        <v>0</v>
      </c>
      <c r="BS252" s="70">
        <f t="shared" si="50"/>
        <v>0</v>
      </c>
      <c r="BT252" s="70">
        <f t="shared" si="50"/>
        <v>4</v>
      </c>
      <c r="BU252" s="70">
        <f t="shared" si="50"/>
        <v>2090</v>
      </c>
      <c r="BV252" s="70">
        <f t="shared" ref="BV252:CK252" si="51">BV37+BV38</f>
        <v>17159</v>
      </c>
      <c r="BW252" s="70">
        <f t="shared" si="51"/>
        <v>0</v>
      </c>
      <c r="BX252" s="70">
        <f t="shared" si="51"/>
        <v>9360</v>
      </c>
      <c r="BY252" s="70">
        <f t="shared" si="51"/>
        <v>3138.4000000000005</v>
      </c>
      <c r="BZ252" s="70">
        <f t="shared" si="51"/>
        <v>1834.3000000000002</v>
      </c>
      <c r="CA252" s="70">
        <f t="shared" si="51"/>
        <v>6381</v>
      </c>
      <c r="CB252" s="70">
        <f t="shared" si="51"/>
        <v>3966</v>
      </c>
      <c r="CC252" s="70">
        <f t="shared" si="51"/>
        <v>0</v>
      </c>
      <c r="CD252" s="70">
        <f t="shared" si="51"/>
        <v>0</v>
      </c>
      <c r="CE252" s="70">
        <f t="shared" si="51"/>
        <v>2</v>
      </c>
      <c r="CF252" s="70">
        <f t="shared" si="51"/>
        <v>10600</v>
      </c>
      <c r="CG252" s="70">
        <f t="shared" si="51"/>
        <v>2</v>
      </c>
      <c r="CH252" s="70">
        <f t="shared" si="51"/>
        <v>10600</v>
      </c>
      <c r="CI252" s="261">
        <f t="shared" si="51"/>
        <v>58</v>
      </c>
      <c r="CJ252" s="100">
        <f t="shared" si="51"/>
        <v>0</v>
      </c>
      <c r="CK252" s="100">
        <f t="shared" si="51"/>
        <v>0</v>
      </c>
      <c r="CL252" s="262"/>
      <c r="CM252" s="100">
        <f>CM37+CM38</f>
        <v>0</v>
      </c>
      <c r="CN252" s="100">
        <f>CN37+CN38</f>
        <v>0</v>
      </c>
      <c r="CO252" s="262"/>
      <c r="CP252" s="70">
        <f t="shared" ref="CP252:DQ252" si="52">CP37+CP38</f>
        <v>2</v>
      </c>
      <c r="CQ252" s="70">
        <f t="shared" si="52"/>
        <v>0</v>
      </c>
      <c r="CR252" s="70">
        <f t="shared" si="52"/>
        <v>0</v>
      </c>
      <c r="CS252" s="70">
        <f t="shared" si="52"/>
        <v>0</v>
      </c>
      <c r="CT252" s="70">
        <f t="shared" si="52"/>
        <v>4</v>
      </c>
      <c r="CU252" s="70">
        <f t="shared" si="52"/>
        <v>0</v>
      </c>
      <c r="CV252" s="70">
        <f t="shared" si="52"/>
        <v>0</v>
      </c>
      <c r="CW252" s="70">
        <f t="shared" si="52"/>
        <v>0</v>
      </c>
      <c r="CX252" s="70">
        <f t="shared" si="52"/>
        <v>0</v>
      </c>
      <c r="CY252" s="70">
        <f t="shared" si="52"/>
        <v>159</v>
      </c>
      <c r="CZ252" s="70">
        <f t="shared" si="52"/>
        <v>148</v>
      </c>
      <c r="DA252" s="70">
        <f t="shared" si="52"/>
        <v>11</v>
      </c>
      <c r="DB252" s="70">
        <f t="shared" si="52"/>
        <v>135</v>
      </c>
      <c r="DC252" s="70">
        <f t="shared" si="52"/>
        <v>69</v>
      </c>
      <c r="DD252" s="70">
        <f t="shared" si="52"/>
        <v>230</v>
      </c>
      <c r="DE252" s="70">
        <f t="shared" si="52"/>
        <v>106</v>
      </c>
      <c r="DF252" s="70">
        <f t="shared" si="52"/>
        <v>69</v>
      </c>
      <c r="DG252" s="70">
        <f t="shared" si="52"/>
        <v>230</v>
      </c>
      <c r="DH252" s="70">
        <f t="shared" si="52"/>
        <v>106</v>
      </c>
      <c r="DI252" s="70">
        <f t="shared" si="52"/>
        <v>10</v>
      </c>
      <c r="DJ252" s="70">
        <f t="shared" si="52"/>
        <v>1</v>
      </c>
      <c r="DK252" s="70">
        <f t="shared" si="52"/>
        <v>12</v>
      </c>
      <c r="DL252" s="70">
        <f t="shared" si="52"/>
        <v>2</v>
      </c>
      <c r="DM252" s="70">
        <f t="shared" si="52"/>
        <v>1</v>
      </c>
      <c r="DN252" s="70">
        <f t="shared" si="52"/>
        <v>12</v>
      </c>
      <c r="DO252" s="70">
        <f t="shared" si="52"/>
        <v>2</v>
      </c>
      <c r="DP252" s="70">
        <f t="shared" si="52"/>
        <v>159</v>
      </c>
      <c r="DQ252" s="70">
        <f t="shared" si="52"/>
        <v>159</v>
      </c>
    </row>
    <row r="253" spans="1:121" s="18" customFormat="1">
      <c r="B253" s="66"/>
      <c r="C253" s="67" t="s">
        <v>12</v>
      </c>
      <c r="D253" s="68"/>
      <c r="E253" s="69"/>
      <c r="F253" s="69"/>
      <c r="G253" s="70">
        <f>G9</f>
        <v>1</v>
      </c>
      <c r="H253" s="260">
        <v>9</v>
      </c>
      <c r="I253" s="71"/>
      <c r="J253" s="70">
        <f t="shared" ref="J253:AO253" si="53">J9</f>
        <v>17018</v>
      </c>
      <c r="K253" s="70">
        <f t="shared" si="53"/>
        <v>706</v>
      </c>
      <c r="L253" s="70">
        <f t="shared" si="53"/>
        <v>0</v>
      </c>
      <c r="M253" s="70">
        <f t="shared" si="53"/>
        <v>695</v>
      </c>
      <c r="N253" s="70">
        <f t="shared" si="53"/>
        <v>62</v>
      </c>
      <c r="O253" s="70">
        <f t="shared" si="53"/>
        <v>169</v>
      </c>
      <c r="P253" s="70">
        <f t="shared" si="53"/>
        <v>62</v>
      </c>
      <c r="Q253" s="70">
        <f t="shared" si="53"/>
        <v>128</v>
      </c>
      <c r="R253" s="72">
        <f t="shared" si="53"/>
        <v>4417.7</v>
      </c>
      <c r="S253" s="70">
        <f t="shared" si="53"/>
        <v>2632.7</v>
      </c>
      <c r="T253" s="70">
        <f t="shared" si="53"/>
        <v>60</v>
      </c>
      <c r="U253" s="70">
        <f t="shared" si="53"/>
        <v>4302.3</v>
      </c>
      <c r="V253" s="70">
        <f t="shared" si="53"/>
        <v>2569.3999999999996</v>
      </c>
      <c r="W253" s="70">
        <f t="shared" si="53"/>
        <v>2</v>
      </c>
      <c r="X253" s="70">
        <f t="shared" si="53"/>
        <v>115.4</v>
      </c>
      <c r="Y253" s="70">
        <f t="shared" si="53"/>
        <v>63.3</v>
      </c>
      <c r="Z253" s="70">
        <f t="shared" si="53"/>
        <v>0</v>
      </c>
      <c r="AA253" s="70">
        <f t="shared" si="53"/>
        <v>0</v>
      </c>
      <c r="AB253" s="70">
        <f t="shared" si="53"/>
        <v>0</v>
      </c>
      <c r="AC253" s="70">
        <f t="shared" si="53"/>
        <v>0</v>
      </c>
      <c r="AD253" s="107">
        <f t="shared" si="53"/>
        <v>0</v>
      </c>
      <c r="AE253" s="70">
        <f t="shared" si="53"/>
        <v>0</v>
      </c>
      <c r="AF253" s="107">
        <f t="shared" si="53"/>
        <v>0</v>
      </c>
      <c r="AG253" s="70">
        <f t="shared" si="53"/>
        <v>0</v>
      </c>
      <c r="AH253" s="70">
        <f t="shared" si="53"/>
        <v>0</v>
      </c>
      <c r="AI253" s="70">
        <f t="shared" si="53"/>
        <v>4417.7</v>
      </c>
      <c r="AJ253" s="70">
        <f t="shared" si="53"/>
        <v>0</v>
      </c>
      <c r="AK253" s="70">
        <f t="shared" si="53"/>
        <v>2</v>
      </c>
      <c r="AL253" s="70">
        <f t="shared" si="53"/>
        <v>2</v>
      </c>
      <c r="AM253" s="70">
        <f t="shared" si="53"/>
        <v>2</v>
      </c>
      <c r="AN253" s="70">
        <f t="shared" si="53"/>
        <v>0</v>
      </c>
      <c r="AO253" s="70">
        <f t="shared" si="53"/>
        <v>2</v>
      </c>
      <c r="AP253" s="70">
        <f t="shared" ref="AP253:BU253" si="54">AP9</f>
        <v>3930</v>
      </c>
      <c r="AQ253" s="70">
        <f t="shared" si="54"/>
        <v>0</v>
      </c>
      <c r="AR253" s="70">
        <f t="shared" si="54"/>
        <v>262</v>
      </c>
      <c r="AS253" s="70">
        <f t="shared" si="54"/>
        <v>157</v>
      </c>
      <c r="AT253" s="70">
        <f t="shared" si="54"/>
        <v>140</v>
      </c>
      <c r="AU253" s="70">
        <f t="shared" si="54"/>
        <v>7246</v>
      </c>
      <c r="AV253" s="70">
        <f t="shared" si="54"/>
        <v>7246</v>
      </c>
      <c r="AW253" s="70">
        <f t="shared" si="54"/>
        <v>0</v>
      </c>
      <c r="AX253" s="70">
        <f t="shared" si="54"/>
        <v>2140</v>
      </c>
      <c r="AY253" s="70">
        <f t="shared" si="54"/>
        <v>136</v>
      </c>
      <c r="AZ253" s="70">
        <f t="shared" si="54"/>
        <v>663</v>
      </c>
      <c r="BA253" s="70">
        <f t="shared" si="54"/>
        <v>663</v>
      </c>
      <c r="BB253" s="70">
        <f t="shared" si="54"/>
        <v>34</v>
      </c>
      <c r="BC253" s="70">
        <f t="shared" si="54"/>
        <v>4</v>
      </c>
      <c r="BD253" s="70">
        <f t="shared" si="54"/>
        <v>231</v>
      </c>
      <c r="BE253" s="70">
        <f t="shared" si="54"/>
        <v>603</v>
      </c>
      <c r="BF253" s="70">
        <f t="shared" si="54"/>
        <v>2</v>
      </c>
      <c r="BG253" s="70">
        <f t="shared" si="54"/>
        <v>3570</v>
      </c>
      <c r="BH253" s="70">
        <f t="shared" si="54"/>
        <v>1400</v>
      </c>
      <c r="BI253" s="70">
        <f t="shared" si="54"/>
        <v>90</v>
      </c>
      <c r="BJ253" s="100" t="str">
        <f t="shared" si="54"/>
        <v>0</v>
      </c>
      <c r="BK253" s="100" t="str">
        <f t="shared" si="54"/>
        <v>0</v>
      </c>
      <c r="BL253" s="100" t="str">
        <f t="shared" si="54"/>
        <v>0</v>
      </c>
      <c r="BM253" s="100">
        <f t="shared" si="54"/>
        <v>1</v>
      </c>
      <c r="BN253" s="100">
        <f t="shared" si="54"/>
        <v>4417.7</v>
      </c>
      <c r="BO253" s="100">
        <f t="shared" si="54"/>
        <v>2632.7</v>
      </c>
      <c r="BP253" s="100" t="str">
        <f t="shared" si="54"/>
        <v>0</v>
      </c>
      <c r="BQ253" s="100" t="str">
        <f t="shared" si="54"/>
        <v>0</v>
      </c>
      <c r="BR253" s="100" t="str">
        <f t="shared" si="54"/>
        <v>0</v>
      </c>
      <c r="BS253" s="70">
        <f t="shared" si="54"/>
        <v>0</v>
      </c>
      <c r="BT253" s="70">
        <f t="shared" si="54"/>
        <v>2</v>
      </c>
      <c r="BU253" s="70">
        <f t="shared" si="54"/>
        <v>663</v>
      </c>
      <c r="BV253" s="70">
        <f t="shared" ref="BV253:CK253" si="55">BV9</f>
        <v>6863</v>
      </c>
      <c r="BW253" s="70">
        <f t="shared" si="55"/>
        <v>0</v>
      </c>
      <c r="BX253" s="70">
        <f t="shared" si="55"/>
        <v>0</v>
      </c>
      <c r="BY253" s="70">
        <f t="shared" si="55"/>
        <v>1183.4000000000001</v>
      </c>
      <c r="BZ253" s="70">
        <f t="shared" si="55"/>
        <v>517.70000000000005</v>
      </c>
      <c r="CA253" s="70">
        <f t="shared" si="55"/>
        <v>1646</v>
      </c>
      <c r="CB253" s="70">
        <f t="shared" si="55"/>
        <v>940</v>
      </c>
      <c r="CC253" s="70">
        <f t="shared" si="55"/>
        <v>1</v>
      </c>
      <c r="CD253" s="70">
        <f t="shared" si="55"/>
        <v>7246</v>
      </c>
      <c r="CE253" s="70" t="str">
        <f t="shared" si="55"/>
        <v>0</v>
      </c>
      <c r="CF253" s="70">
        <f t="shared" si="55"/>
        <v>0</v>
      </c>
      <c r="CG253" s="70">
        <f t="shared" si="55"/>
        <v>1</v>
      </c>
      <c r="CH253" s="70">
        <f t="shared" si="55"/>
        <v>7246</v>
      </c>
      <c r="CI253" s="261">
        <f t="shared" si="55"/>
        <v>29</v>
      </c>
      <c r="CJ253" s="100" t="str">
        <f t="shared" si="55"/>
        <v>0</v>
      </c>
      <c r="CK253" s="100" t="str">
        <f t="shared" si="55"/>
        <v>0</v>
      </c>
      <c r="CL253" s="262"/>
      <c r="CM253" s="100" t="str">
        <f>CM9</f>
        <v>0</v>
      </c>
      <c r="CN253" s="100" t="str">
        <f>CN9</f>
        <v>0</v>
      </c>
      <c r="CO253" s="262"/>
      <c r="CP253" s="70">
        <f t="shared" ref="CP253:DQ253" si="56">CP9</f>
        <v>1</v>
      </c>
      <c r="CQ253" s="70">
        <f t="shared" si="56"/>
        <v>0</v>
      </c>
      <c r="CR253" s="70">
        <f t="shared" si="56"/>
        <v>0</v>
      </c>
      <c r="CS253" s="70">
        <f t="shared" si="56"/>
        <v>0</v>
      </c>
      <c r="CT253" s="70">
        <f t="shared" si="56"/>
        <v>2</v>
      </c>
      <c r="CU253" s="70">
        <f t="shared" si="56"/>
        <v>0</v>
      </c>
      <c r="CV253" s="70">
        <f t="shared" si="56"/>
        <v>0</v>
      </c>
      <c r="CW253" s="70">
        <f t="shared" si="56"/>
        <v>0</v>
      </c>
      <c r="CX253" s="70">
        <f t="shared" si="56"/>
        <v>0</v>
      </c>
      <c r="CY253" s="70">
        <f t="shared" si="56"/>
        <v>62</v>
      </c>
      <c r="CZ253" s="70">
        <f t="shared" si="56"/>
        <v>60</v>
      </c>
      <c r="DA253" s="70">
        <f t="shared" si="56"/>
        <v>2</v>
      </c>
      <c r="DB253" s="70">
        <f t="shared" si="56"/>
        <v>57</v>
      </c>
      <c r="DC253" s="70">
        <f t="shared" si="56"/>
        <v>45</v>
      </c>
      <c r="DD253" s="70">
        <f t="shared" si="56"/>
        <v>93</v>
      </c>
      <c r="DE253" s="70">
        <f t="shared" si="56"/>
        <v>57</v>
      </c>
      <c r="DF253" s="70">
        <f t="shared" si="56"/>
        <v>45</v>
      </c>
      <c r="DG253" s="70">
        <f t="shared" si="56"/>
        <v>93</v>
      </c>
      <c r="DH253" s="70">
        <f t="shared" si="56"/>
        <v>57</v>
      </c>
      <c r="DI253" s="70">
        <f t="shared" si="56"/>
        <v>2</v>
      </c>
      <c r="DJ253" s="70">
        <f t="shared" si="56"/>
        <v>1</v>
      </c>
      <c r="DK253" s="70">
        <f t="shared" si="56"/>
        <v>4</v>
      </c>
      <c r="DL253" s="70">
        <f t="shared" si="56"/>
        <v>2</v>
      </c>
      <c r="DM253" s="70">
        <f t="shared" si="56"/>
        <v>1</v>
      </c>
      <c r="DN253" s="70">
        <f t="shared" si="56"/>
        <v>4</v>
      </c>
      <c r="DO253" s="70">
        <f t="shared" si="56"/>
        <v>2</v>
      </c>
      <c r="DP253" s="70">
        <f t="shared" si="56"/>
        <v>62</v>
      </c>
      <c r="DQ253" s="70">
        <f t="shared" si="56"/>
        <v>62</v>
      </c>
    </row>
    <row r="254" spans="1:121" s="18" customFormat="1">
      <c r="B254" s="66"/>
      <c r="C254" s="67" t="s">
        <v>13</v>
      </c>
      <c r="D254" s="68"/>
      <c r="E254" s="69"/>
      <c r="F254" s="69"/>
      <c r="G254" s="70">
        <f>G8+G10+G12+G13+G15+G17+G20+G21+G23+G25+G26+G27+G36+G39+G40</f>
        <v>15</v>
      </c>
      <c r="H254" s="260">
        <v>9</v>
      </c>
      <c r="I254" s="71"/>
      <c r="J254" s="70">
        <f t="shared" ref="J254:AO254" si="57">J8+J10+J12+J13+J15+J17+J20+J21+J23+J25+J26+J27+J36+J39+J40</f>
        <v>598841</v>
      </c>
      <c r="K254" s="70">
        <f t="shared" si="57"/>
        <v>23176</v>
      </c>
      <c r="L254" s="70">
        <f t="shared" si="57"/>
        <v>0</v>
      </c>
      <c r="M254" s="70">
        <f t="shared" si="57"/>
        <v>22166</v>
      </c>
      <c r="N254" s="70">
        <f t="shared" si="57"/>
        <v>2107</v>
      </c>
      <c r="O254" s="70">
        <f t="shared" si="57"/>
        <v>5541</v>
      </c>
      <c r="P254" s="70">
        <f t="shared" si="57"/>
        <v>2126</v>
      </c>
      <c r="Q254" s="70">
        <f t="shared" si="57"/>
        <v>4997</v>
      </c>
      <c r="R254" s="72">
        <f t="shared" si="57"/>
        <v>133590.56</v>
      </c>
      <c r="S254" s="70">
        <f t="shared" si="57"/>
        <v>82771.199999999997</v>
      </c>
      <c r="T254" s="70">
        <f t="shared" si="57"/>
        <v>1954</v>
      </c>
      <c r="U254" s="70">
        <f t="shared" si="57"/>
        <v>123599.15999999997</v>
      </c>
      <c r="V254" s="70">
        <f t="shared" si="57"/>
        <v>76514</v>
      </c>
      <c r="W254" s="70">
        <f t="shared" si="57"/>
        <v>153</v>
      </c>
      <c r="X254" s="70">
        <f t="shared" si="57"/>
        <v>9991.4</v>
      </c>
      <c r="Y254" s="70">
        <f t="shared" si="57"/>
        <v>6257.2000000000007</v>
      </c>
      <c r="Z254" s="70">
        <f t="shared" si="57"/>
        <v>0</v>
      </c>
      <c r="AA254" s="70">
        <f t="shared" si="57"/>
        <v>0</v>
      </c>
      <c r="AB254" s="70">
        <f t="shared" si="57"/>
        <v>0</v>
      </c>
      <c r="AC254" s="70">
        <f t="shared" si="57"/>
        <v>452.99999999999994</v>
      </c>
      <c r="AD254" s="107">
        <f t="shared" si="57"/>
        <v>176.3</v>
      </c>
      <c r="AE254" s="70">
        <f t="shared" si="57"/>
        <v>0</v>
      </c>
      <c r="AF254" s="107">
        <f t="shared" si="57"/>
        <v>176.3</v>
      </c>
      <c r="AG254" s="70">
        <f t="shared" si="57"/>
        <v>276.7</v>
      </c>
      <c r="AH254" s="70">
        <f t="shared" si="57"/>
        <v>0</v>
      </c>
      <c r="AI254" s="70">
        <f t="shared" si="57"/>
        <v>134043.56</v>
      </c>
      <c r="AJ254" s="70">
        <f t="shared" si="57"/>
        <v>0</v>
      </c>
      <c r="AK254" s="70">
        <f t="shared" si="57"/>
        <v>59</v>
      </c>
      <c r="AL254" s="70">
        <f t="shared" si="57"/>
        <v>59</v>
      </c>
      <c r="AM254" s="70">
        <f t="shared" si="57"/>
        <v>58</v>
      </c>
      <c r="AN254" s="70">
        <f t="shared" si="57"/>
        <v>0</v>
      </c>
      <c r="AO254" s="70">
        <f t="shared" si="57"/>
        <v>59</v>
      </c>
      <c r="AP254" s="70">
        <f t="shared" ref="AP254:BU254" si="58">AP8+AP10+AP12+AP13+AP15+AP17+AP20+AP21+AP23+AP25+AP26+AP27+AP36+AP39+AP40</f>
        <v>107890</v>
      </c>
      <c r="AQ254" s="70">
        <f t="shared" si="58"/>
        <v>2915</v>
      </c>
      <c r="AR254" s="70">
        <f t="shared" si="58"/>
        <v>8759</v>
      </c>
      <c r="AS254" s="70">
        <f t="shared" si="58"/>
        <v>6616</v>
      </c>
      <c r="AT254" s="70">
        <f t="shared" si="58"/>
        <v>8437</v>
      </c>
      <c r="AU254" s="70">
        <f t="shared" si="58"/>
        <v>216509</v>
      </c>
      <c r="AV254" s="70">
        <f t="shared" si="58"/>
        <v>105070</v>
      </c>
      <c r="AW254" s="70">
        <f t="shared" si="58"/>
        <v>111439</v>
      </c>
      <c r="AX254" s="70">
        <f t="shared" si="58"/>
        <v>52630</v>
      </c>
      <c r="AY254" s="70">
        <f t="shared" si="58"/>
        <v>4557</v>
      </c>
      <c r="AZ254" s="70">
        <f t="shared" si="58"/>
        <v>21674</v>
      </c>
      <c r="BA254" s="70">
        <f t="shared" si="58"/>
        <v>21674</v>
      </c>
      <c r="BB254" s="70">
        <f t="shared" si="58"/>
        <v>1003</v>
      </c>
      <c r="BC254" s="70">
        <f t="shared" si="58"/>
        <v>118</v>
      </c>
      <c r="BD254" s="70">
        <f t="shared" si="58"/>
        <v>7561</v>
      </c>
      <c r="BE254" s="70">
        <f t="shared" si="58"/>
        <v>19746</v>
      </c>
      <c r="BF254" s="70">
        <f t="shared" si="58"/>
        <v>2</v>
      </c>
      <c r="BG254" s="70">
        <f t="shared" si="58"/>
        <v>224200</v>
      </c>
      <c r="BH254" s="70">
        <f t="shared" si="58"/>
        <v>96465</v>
      </c>
      <c r="BI254" s="70">
        <f t="shared" si="58"/>
        <v>4265</v>
      </c>
      <c r="BJ254" s="100">
        <f t="shared" si="58"/>
        <v>0</v>
      </c>
      <c r="BK254" s="100">
        <f t="shared" si="58"/>
        <v>0</v>
      </c>
      <c r="BL254" s="100">
        <f t="shared" si="58"/>
        <v>0</v>
      </c>
      <c r="BM254" s="100">
        <f t="shared" si="58"/>
        <v>12</v>
      </c>
      <c r="BN254" s="100">
        <f t="shared" si="58"/>
        <v>85852.359999999986</v>
      </c>
      <c r="BO254" s="100">
        <f t="shared" si="58"/>
        <v>53494.900000000009</v>
      </c>
      <c r="BP254" s="100">
        <f t="shared" si="58"/>
        <v>3</v>
      </c>
      <c r="BQ254" s="100">
        <f t="shared" si="58"/>
        <v>47738.200000000004</v>
      </c>
      <c r="BR254" s="100">
        <f t="shared" si="58"/>
        <v>29276.3</v>
      </c>
      <c r="BS254" s="70">
        <f t="shared" si="58"/>
        <v>0</v>
      </c>
      <c r="BT254" s="70">
        <f t="shared" si="58"/>
        <v>44</v>
      </c>
      <c r="BU254" s="70">
        <f t="shared" si="58"/>
        <v>0</v>
      </c>
      <c r="BV254" s="70">
        <f t="shared" ref="BV254:CK254" si="59">BV8+BV10+BV12+BV13+BV15+BV17+BV20+BV21+BV23+BV25+BV26+BV27+BV36+BV39+BV40</f>
        <v>0</v>
      </c>
      <c r="BW254" s="70">
        <f t="shared" si="59"/>
        <v>0</v>
      </c>
      <c r="BX254" s="70">
        <f t="shared" si="59"/>
        <v>10830</v>
      </c>
      <c r="BY254" s="70">
        <f t="shared" si="59"/>
        <v>30505.129999999994</v>
      </c>
      <c r="BZ254" s="70">
        <f t="shared" si="59"/>
        <v>23219.140000000003</v>
      </c>
      <c r="CA254" s="70">
        <f t="shared" si="59"/>
        <v>50900</v>
      </c>
      <c r="CB254" s="70">
        <f t="shared" si="59"/>
        <v>27724</v>
      </c>
      <c r="CC254" s="70">
        <f t="shared" si="59"/>
        <v>5</v>
      </c>
      <c r="CD254" s="70">
        <f t="shared" si="59"/>
        <v>105070</v>
      </c>
      <c r="CE254" s="70">
        <f t="shared" si="59"/>
        <v>10</v>
      </c>
      <c r="CF254" s="70">
        <f t="shared" si="59"/>
        <v>111439</v>
      </c>
      <c r="CG254" s="70">
        <f t="shared" si="59"/>
        <v>15</v>
      </c>
      <c r="CH254" s="70">
        <f t="shared" si="59"/>
        <v>216509</v>
      </c>
      <c r="CI254" s="261">
        <f t="shared" si="59"/>
        <v>430</v>
      </c>
      <c r="CJ254" s="100">
        <f t="shared" si="59"/>
        <v>0</v>
      </c>
      <c r="CK254" s="100">
        <f t="shared" si="59"/>
        <v>0</v>
      </c>
      <c r="CL254" s="262"/>
      <c r="CM254" s="100">
        <f>CM8+CM10+CM12+CM13+CM15+CM17+CM20+CM21+CM23+CM25+CM26+CM27+CM36+CM39+CM40</f>
        <v>0</v>
      </c>
      <c r="CN254" s="100">
        <f>CN8+CN10+CN12+CN13+CN15+CN17+CN20+CN21+CN23+CN25+CN26+CN27+CN36+CN39+CN40</f>
        <v>0</v>
      </c>
      <c r="CO254" s="262"/>
      <c r="CP254" s="70">
        <f t="shared" ref="CP254:DQ254" si="60">CP8+CP10+CP12+CP13+CP15+CP17+CP20+CP21+CP23+CP25+CP26+CP27+CP36+CP39+CP40</f>
        <v>15</v>
      </c>
      <c r="CQ254" s="70">
        <f t="shared" si="60"/>
        <v>2</v>
      </c>
      <c r="CR254" s="70">
        <f t="shared" si="60"/>
        <v>2</v>
      </c>
      <c r="CS254" s="70">
        <f t="shared" si="60"/>
        <v>2</v>
      </c>
      <c r="CT254" s="70">
        <f t="shared" si="60"/>
        <v>44</v>
      </c>
      <c r="CU254" s="70">
        <f t="shared" si="60"/>
        <v>0</v>
      </c>
      <c r="CV254" s="70">
        <f t="shared" si="60"/>
        <v>0</v>
      </c>
      <c r="CW254" s="70">
        <f t="shared" si="60"/>
        <v>0</v>
      </c>
      <c r="CX254" s="70">
        <f t="shared" si="60"/>
        <v>5</v>
      </c>
      <c r="CY254" s="70">
        <f t="shared" si="60"/>
        <v>2105</v>
      </c>
      <c r="CZ254" s="70">
        <f t="shared" si="60"/>
        <v>1971</v>
      </c>
      <c r="DA254" s="70">
        <f t="shared" si="60"/>
        <v>134</v>
      </c>
      <c r="DB254" s="70">
        <f t="shared" si="60"/>
        <v>1877</v>
      </c>
      <c r="DC254" s="70">
        <f t="shared" si="60"/>
        <v>1380</v>
      </c>
      <c r="DD254" s="70">
        <f t="shared" si="60"/>
        <v>3323</v>
      </c>
      <c r="DE254" s="70">
        <f t="shared" si="60"/>
        <v>1754</v>
      </c>
      <c r="DF254" s="70">
        <f t="shared" si="60"/>
        <v>1380</v>
      </c>
      <c r="DG254" s="70">
        <f t="shared" si="60"/>
        <v>3323</v>
      </c>
      <c r="DH254" s="70">
        <f t="shared" si="60"/>
        <v>1750</v>
      </c>
      <c r="DI254" s="70">
        <f t="shared" si="60"/>
        <v>112</v>
      </c>
      <c r="DJ254" s="70">
        <f t="shared" si="60"/>
        <v>46</v>
      </c>
      <c r="DK254" s="70">
        <f t="shared" si="60"/>
        <v>160</v>
      </c>
      <c r="DL254" s="70">
        <f t="shared" si="60"/>
        <v>56</v>
      </c>
      <c r="DM254" s="70">
        <f t="shared" si="60"/>
        <v>46</v>
      </c>
      <c r="DN254" s="70">
        <f t="shared" si="60"/>
        <v>160</v>
      </c>
      <c r="DO254" s="70">
        <f t="shared" si="60"/>
        <v>56</v>
      </c>
      <c r="DP254" s="70">
        <f t="shared" si="60"/>
        <v>2105</v>
      </c>
      <c r="DQ254" s="70">
        <f t="shared" si="60"/>
        <v>2105</v>
      </c>
    </row>
    <row r="255" spans="1:121" s="18" customFormat="1">
      <c r="B255" s="66"/>
      <c r="C255" s="67" t="s">
        <v>14</v>
      </c>
      <c r="D255" s="68"/>
      <c r="E255" s="69"/>
      <c r="F255" s="69"/>
      <c r="G255" s="70">
        <f>G41</f>
        <v>1</v>
      </c>
      <c r="H255" s="260">
        <v>12</v>
      </c>
      <c r="I255" s="71"/>
      <c r="J255" s="70">
        <f t="shared" ref="J255:AO255" si="61">J41</f>
        <v>53895</v>
      </c>
      <c r="K255" s="70">
        <f t="shared" si="61"/>
        <v>2835</v>
      </c>
      <c r="L255" s="70">
        <f t="shared" si="61"/>
        <v>0</v>
      </c>
      <c r="M255" s="70">
        <f t="shared" si="61"/>
        <v>2630</v>
      </c>
      <c r="N255" s="70">
        <f t="shared" si="61"/>
        <v>132</v>
      </c>
      <c r="O255" s="70">
        <f t="shared" si="61"/>
        <v>220</v>
      </c>
      <c r="P255" s="70">
        <f t="shared" si="61"/>
        <v>135</v>
      </c>
      <c r="Q255" s="70">
        <f t="shared" si="61"/>
        <v>206</v>
      </c>
      <c r="R255" s="72">
        <f t="shared" si="61"/>
        <v>6466.5</v>
      </c>
      <c r="S255" s="70">
        <f t="shared" si="61"/>
        <v>3480.2</v>
      </c>
      <c r="T255" s="70">
        <f t="shared" si="61"/>
        <v>120</v>
      </c>
      <c r="U255" s="70">
        <f t="shared" si="61"/>
        <v>5890.3</v>
      </c>
      <c r="V255" s="70">
        <f t="shared" si="61"/>
        <v>3173.2999999999997</v>
      </c>
      <c r="W255" s="70">
        <f t="shared" si="61"/>
        <v>12</v>
      </c>
      <c r="X255" s="70">
        <f t="shared" si="61"/>
        <v>576.20000000000005</v>
      </c>
      <c r="Y255" s="70">
        <f t="shared" si="61"/>
        <v>306.89999999999998</v>
      </c>
      <c r="Z255" s="70">
        <f t="shared" si="61"/>
        <v>0</v>
      </c>
      <c r="AA255" s="70">
        <f t="shared" si="61"/>
        <v>0</v>
      </c>
      <c r="AB255" s="70">
        <f t="shared" si="61"/>
        <v>0</v>
      </c>
      <c r="AC255" s="70">
        <f t="shared" si="61"/>
        <v>1377.5</v>
      </c>
      <c r="AD255" s="107">
        <f t="shared" si="61"/>
        <v>1377.5</v>
      </c>
      <c r="AE255" s="70">
        <f t="shared" si="61"/>
        <v>0</v>
      </c>
      <c r="AF255" s="107">
        <f t="shared" si="61"/>
        <v>1377.5</v>
      </c>
      <c r="AG255" s="70">
        <f t="shared" si="61"/>
        <v>0</v>
      </c>
      <c r="AH255" s="70">
        <f t="shared" si="61"/>
        <v>0</v>
      </c>
      <c r="AI255" s="70">
        <f t="shared" si="61"/>
        <v>7844</v>
      </c>
      <c r="AJ255" s="70">
        <f t="shared" si="61"/>
        <v>0</v>
      </c>
      <c r="AK255" s="70">
        <f t="shared" si="61"/>
        <v>4</v>
      </c>
      <c r="AL255" s="70">
        <f t="shared" si="61"/>
        <v>2</v>
      </c>
      <c r="AM255" s="70">
        <f t="shared" si="61"/>
        <v>2</v>
      </c>
      <c r="AN255" s="70">
        <f t="shared" si="61"/>
        <v>0</v>
      </c>
      <c r="AO255" s="70">
        <f t="shared" si="61"/>
        <v>2</v>
      </c>
      <c r="AP255" s="70">
        <f t="shared" ref="AP255:BU255" si="62">AP41</f>
        <v>11200</v>
      </c>
      <c r="AQ255" s="70">
        <f t="shared" si="62"/>
        <v>0</v>
      </c>
      <c r="AR255" s="70">
        <f t="shared" si="62"/>
        <v>1120</v>
      </c>
      <c r="AS255" s="70">
        <f t="shared" si="62"/>
        <v>512</v>
      </c>
      <c r="AT255" s="70">
        <f t="shared" si="62"/>
        <v>312</v>
      </c>
      <c r="AU255" s="70">
        <f t="shared" si="62"/>
        <v>17584</v>
      </c>
      <c r="AV255" s="70">
        <f t="shared" si="62"/>
        <v>0</v>
      </c>
      <c r="AW255" s="70">
        <f t="shared" si="62"/>
        <v>17584</v>
      </c>
      <c r="AX255" s="70">
        <f t="shared" si="62"/>
        <v>0</v>
      </c>
      <c r="AY255" s="70">
        <f t="shared" si="62"/>
        <v>307</v>
      </c>
      <c r="AZ255" s="70">
        <f t="shared" si="62"/>
        <v>2448</v>
      </c>
      <c r="BA255" s="70">
        <f t="shared" si="62"/>
        <v>2448</v>
      </c>
      <c r="BB255" s="70">
        <f t="shared" si="62"/>
        <v>0</v>
      </c>
      <c r="BC255" s="70">
        <f t="shared" si="62"/>
        <v>4</v>
      </c>
      <c r="BD255" s="70">
        <f t="shared" si="62"/>
        <v>352</v>
      </c>
      <c r="BE255" s="70">
        <f t="shared" si="62"/>
        <v>1146</v>
      </c>
      <c r="BF255" s="70">
        <f t="shared" si="62"/>
        <v>0</v>
      </c>
      <c r="BG255" s="70">
        <f t="shared" si="62"/>
        <v>15200</v>
      </c>
      <c r="BH255" s="70">
        <f t="shared" si="62"/>
        <v>6540</v>
      </c>
      <c r="BI255" s="70">
        <f t="shared" si="62"/>
        <v>240</v>
      </c>
      <c r="BJ255" s="100">
        <f t="shared" si="62"/>
        <v>1</v>
      </c>
      <c r="BK255" s="100">
        <f t="shared" si="62"/>
        <v>6466.5</v>
      </c>
      <c r="BL255" s="100">
        <f t="shared" si="62"/>
        <v>3480.2</v>
      </c>
      <c r="BM255" s="100" t="str">
        <f t="shared" si="62"/>
        <v>0</v>
      </c>
      <c r="BN255" s="100" t="str">
        <f t="shared" si="62"/>
        <v>0</v>
      </c>
      <c r="BO255" s="100" t="str">
        <f t="shared" si="62"/>
        <v>0</v>
      </c>
      <c r="BP255" s="100" t="str">
        <f t="shared" si="62"/>
        <v>0</v>
      </c>
      <c r="BQ255" s="100" t="str">
        <f t="shared" si="62"/>
        <v>0</v>
      </c>
      <c r="BR255" s="100" t="str">
        <f t="shared" si="62"/>
        <v>0</v>
      </c>
      <c r="BS255" s="70">
        <f t="shared" si="62"/>
        <v>0</v>
      </c>
      <c r="BT255" s="70">
        <f t="shared" si="62"/>
        <v>3</v>
      </c>
      <c r="BU255" s="70">
        <f t="shared" si="62"/>
        <v>2448</v>
      </c>
      <c r="BV255" s="70">
        <f t="shared" ref="BV255:CK255" si="63">BV41</f>
        <v>10480</v>
      </c>
      <c r="BW255" s="70">
        <f t="shared" si="63"/>
        <v>0</v>
      </c>
      <c r="BX255" s="70">
        <f t="shared" si="63"/>
        <v>11200</v>
      </c>
      <c r="BY255" s="70">
        <f t="shared" si="63"/>
        <v>2589.7999999999997</v>
      </c>
      <c r="BZ255" s="70">
        <f t="shared" si="63"/>
        <v>2084.4</v>
      </c>
      <c r="CA255" s="70">
        <f t="shared" si="63"/>
        <v>6817</v>
      </c>
      <c r="CB255" s="70">
        <f t="shared" si="63"/>
        <v>3982</v>
      </c>
      <c r="CC255" s="70" t="str">
        <f t="shared" si="63"/>
        <v>0</v>
      </c>
      <c r="CD255" s="70">
        <f t="shared" si="63"/>
        <v>0</v>
      </c>
      <c r="CE255" s="70">
        <f t="shared" si="63"/>
        <v>1</v>
      </c>
      <c r="CF255" s="70">
        <f t="shared" si="63"/>
        <v>17584</v>
      </c>
      <c r="CG255" s="70">
        <f t="shared" si="63"/>
        <v>1</v>
      </c>
      <c r="CH255" s="70">
        <f t="shared" si="63"/>
        <v>17584</v>
      </c>
      <c r="CI255" s="261">
        <f t="shared" si="63"/>
        <v>32</v>
      </c>
      <c r="CJ255" s="100" t="str">
        <f t="shared" si="63"/>
        <v>0</v>
      </c>
      <c r="CK255" s="100" t="str">
        <f t="shared" si="63"/>
        <v>0</v>
      </c>
      <c r="CL255" s="262"/>
      <c r="CM255" s="100" t="str">
        <f>CM41</f>
        <v>0</v>
      </c>
      <c r="CN255" s="100" t="str">
        <f>CN41</f>
        <v>0</v>
      </c>
      <c r="CO255" s="262"/>
      <c r="CP255" s="70">
        <f t="shared" ref="CP255:DQ255" si="64">CP41</f>
        <v>1</v>
      </c>
      <c r="CQ255" s="70">
        <f t="shared" si="64"/>
        <v>0</v>
      </c>
      <c r="CR255" s="70">
        <f t="shared" si="64"/>
        <v>0</v>
      </c>
      <c r="CS255" s="70">
        <f t="shared" si="64"/>
        <v>0</v>
      </c>
      <c r="CT255" s="70">
        <f t="shared" si="64"/>
        <v>4</v>
      </c>
      <c r="CU255" s="70">
        <f t="shared" si="64"/>
        <v>0</v>
      </c>
      <c r="CV255" s="70">
        <f t="shared" si="64"/>
        <v>0</v>
      </c>
      <c r="CW255" s="70">
        <f t="shared" si="64"/>
        <v>0</v>
      </c>
      <c r="CX255" s="70">
        <f t="shared" si="64"/>
        <v>0</v>
      </c>
      <c r="CY255" s="70">
        <f t="shared" si="64"/>
        <v>132</v>
      </c>
      <c r="CZ255" s="70">
        <f t="shared" si="64"/>
        <v>124</v>
      </c>
      <c r="DA255" s="70">
        <f t="shared" si="64"/>
        <v>8</v>
      </c>
      <c r="DB255" s="70">
        <f t="shared" si="64"/>
        <v>121</v>
      </c>
      <c r="DC255" s="70">
        <f t="shared" si="64"/>
        <v>64</v>
      </c>
      <c r="DD255" s="70">
        <f t="shared" si="64"/>
        <v>127</v>
      </c>
      <c r="DE255" s="70">
        <f t="shared" si="64"/>
        <v>66</v>
      </c>
      <c r="DF255" s="70">
        <f t="shared" si="64"/>
        <v>64</v>
      </c>
      <c r="DG255" s="70">
        <f t="shared" si="64"/>
        <v>127</v>
      </c>
      <c r="DH255" s="70">
        <f t="shared" si="64"/>
        <v>66</v>
      </c>
      <c r="DI255" s="70">
        <f t="shared" si="64"/>
        <v>6</v>
      </c>
      <c r="DJ255" s="70">
        <f t="shared" si="64"/>
        <v>2</v>
      </c>
      <c r="DK255" s="70">
        <f t="shared" si="64"/>
        <v>8</v>
      </c>
      <c r="DL255" s="70">
        <f t="shared" si="64"/>
        <v>2</v>
      </c>
      <c r="DM255" s="70">
        <f t="shared" si="64"/>
        <v>2</v>
      </c>
      <c r="DN255" s="70">
        <f t="shared" si="64"/>
        <v>8</v>
      </c>
      <c r="DO255" s="70">
        <f t="shared" si="64"/>
        <v>2</v>
      </c>
      <c r="DP255" s="70">
        <f t="shared" si="64"/>
        <v>132</v>
      </c>
      <c r="DQ255" s="70">
        <f t="shared" si="64"/>
        <v>132</v>
      </c>
    </row>
    <row r="256" spans="1:121" s="18" customFormat="1">
      <c r="B256" s="66"/>
      <c r="C256" s="67" t="s">
        <v>17</v>
      </c>
      <c r="E256" s="67"/>
      <c r="F256" s="67"/>
      <c r="G256" s="70">
        <f>G7+G11+G14+G16+G18+G19+G22+G24+G29+G30+G31+G32+G33+G34+G35+G42+G43+G44+G28</f>
        <v>19</v>
      </c>
      <c r="H256" s="65">
        <v>5</v>
      </c>
      <c r="I256" s="70"/>
      <c r="J256" s="70">
        <f t="shared" ref="J256:AO256" si="65">J7+J11+J14+J16+J18+J19+J22+J24+J29+J30+J31+J32+J33+J34+J35+J42+J43+J44+J28</f>
        <v>703401</v>
      </c>
      <c r="K256" s="70">
        <f t="shared" si="65"/>
        <v>42414</v>
      </c>
      <c r="L256" s="70">
        <f t="shared" si="65"/>
        <v>52098</v>
      </c>
      <c r="M256" s="70">
        <f t="shared" si="65"/>
        <v>0</v>
      </c>
      <c r="N256" s="70">
        <f t="shared" si="65"/>
        <v>1657</v>
      </c>
      <c r="O256" s="70">
        <f t="shared" si="65"/>
        <v>4174</v>
      </c>
      <c r="P256" s="70">
        <f t="shared" si="65"/>
        <v>1777</v>
      </c>
      <c r="Q256" s="70">
        <f t="shared" si="65"/>
        <v>3238</v>
      </c>
      <c r="R256" s="70">
        <f t="shared" si="65"/>
        <v>118718.15</v>
      </c>
      <c r="S256" s="70">
        <f t="shared" si="65"/>
        <v>71226.58</v>
      </c>
      <c r="T256" s="70">
        <f t="shared" si="65"/>
        <v>1523</v>
      </c>
      <c r="U256" s="70">
        <f t="shared" si="65"/>
        <v>108985.19000000002</v>
      </c>
      <c r="V256" s="70">
        <f t="shared" si="65"/>
        <v>65313.24</v>
      </c>
      <c r="W256" s="70">
        <f t="shared" si="65"/>
        <v>134</v>
      </c>
      <c r="X256" s="70">
        <f t="shared" si="65"/>
        <v>9732.9600000000009</v>
      </c>
      <c r="Y256" s="70">
        <f t="shared" si="65"/>
        <v>5913.34</v>
      </c>
      <c r="Z256" s="70">
        <f t="shared" si="65"/>
        <v>0</v>
      </c>
      <c r="AA256" s="70">
        <f t="shared" si="65"/>
        <v>0</v>
      </c>
      <c r="AB256" s="70">
        <f t="shared" si="65"/>
        <v>0</v>
      </c>
      <c r="AC256" s="70">
        <f t="shared" si="65"/>
        <v>32824.539999999994</v>
      </c>
      <c r="AD256" s="70">
        <f t="shared" si="65"/>
        <v>17194.769999999997</v>
      </c>
      <c r="AE256" s="70">
        <f t="shared" si="65"/>
        <v>0</v>
      </c>
      <c r="AF256" s="70">
        <f t="shared" si="65"/>
        <v>17194.769999999997</v>
      </c>
      <c r="AG256" s="70">
        <f t="shared" si="65"/>
        <v>12174.819999999998</v>
      </c>
      <c r="AH256" s="70">
        <f t="shared" si="65"/>
        <v>3454.9500000000003</v>
      </c>
      <c r="AI256" s="70">
        <f t="shared" si="65"/>
        <v>151542.69</v>
      </c>
      <c r="AJ256" s="70">
        <f t="shared" si="65"/>
        <v>0</v>
      </c>
      <c r="AK256" s="70">
        <f t="shared" si="65"/>
        <v>0</v>
      </c>
      <c r="AL256" s="70">
        <f t="shared" si="65"/>
        <v>99</v>
      </c>
      <c r="AM256" s="70">
        <f t="shared" si="65"/>
        <v>0</v>
      </c>
      <c r="AN256" s="70">
        <f t="shared" si="65"/>
        <v>0</v>
      </c>
      <c r="AO256" s="70">
        <f t="shared" si="65"/>
        <v>29</v>
      </c>
      <c r="AP256" s="70">
        <f t="shared" ref="AP256:BU256" si="66">AP7+AP11+AP14+AP16+AP18+AP19+AP22+AP24+AP29+AP30+AP31+AP32+AP33+AP34+AP35+AP42+AP43+AP44+AP28</f>
        <v>103073</v>
      </c>
      <c r="AQ256" s="70">
        <f t="shared" si="66"/>
        <v>21101</v>
      </c>
      <c r="AR256" s="70">
        <f t="shared" si="66"/>
        <v>9215</v>
      </c>
      <c r="AS256" s="70">
        <f t="shared" si="66"/>
        <v>7573</v>
      </c>
      <c r="AT256" s="70">
        <f t="shared" si="66"/>
        <v>3030</v>
      </c>
      <c r="AU256" s="70">
        <f t="shared" si="66"/>
        <v>97425</v>
      </c>
      <c r="AV256" s="70">
        <f t="shared" si="66"/>
        <v>0</v>
      </c>
      <c r="AW256" s="70">
        <f t="shared" si="66"/>
        <v>97425</v>
      </c>
      <c r="AX256" s="70">
        <f t="shared" si="66"/>
        <v>0</v>
      </c>
      <c r="AY256" s="70">
        <f t="shared" si="66"/>
        <v>3086</v>
      </c>
      <c r="AZ256" s="70">
        <f t="shared" si="66"/>
        <v>41376</v>
      </c>
      <c r="BA256" s="70">
        <f t="shared" si="66"/>
        <v>41376</v>
      </c>
      <c r="BB256" s="70">
        <f t="shared" si="66"/>
        <v>491</v>
      </c>
      <c r="BC256" s="70">
        <f t="shared" si="66"/>
        <v>204</v>
      </c>
      <c r="BD256" s="70">
        <f t="shared" si="66"/>
        <v>5798</v>
      </c>
      <c r="BE256" s="70">
        <f t="shared" si="66"/>
        <v>16244</v>
      </c>
      <c r="BF256" s="70">
        <f t="shared" si="66"/>
        <v>0</v>
      </c>
      <c r="BG256" s="70">
        <f t="shared" si="66"/>
        <v>124143</v>
      </c>
      <c r="BH256" s="70">
        <f t="shared" si="66"/>
        <v>3654</v>
      </c>
      <c r="BI256" s="70">
        <f t="shared" si="66"/>
        <v>0</v>
      </c>
      <c r="BJ256" s="70">
        <f t="shared" si="66"/>
        <v>19</v>
      </c>
      <c r="BK256" s="70">
        <f t="shared" si="66"/>
        <v>118718.15</v>
      </c>
      <c r="BL256" s="70">
        <f t="shared" si="66"/>
        <v>71226.58</v>
      </c>
      <c r="BM256" s="70">
        <f t="shared" si="66"/>
        <v>0</v>
      </c>
      <c r="BN256" s="70">
        <f t="shared" si="66"/>
        <v>0</v>
      </c>
      <c r="BO256" s="70">
        <f t="shared" si="66"/>
        <v>0</v>
      </c>
      <c r="BP256" s="70">
        <f t="shared" si="66"/>
        <v>0</v>
      </c>
      <c r="BQ256" s="70">
        <f t="shared" si="66"/>
        <v>0</v>
      </c>
      <c r="BR256" s="70">
        <f t="shared" si="66"/>
        <v>0</v>
      </c>
      <c r="BS256" s="70">
        <f t="shared" si="66"/>
        <v>0</v>
      </c>
      <c r="BT256" s="70">
        <f t="shared" si="66"/>
        <v>74</v>
      </c>
      <c r="BU256" s="70">
        <f t="shared" si="66"/>
        <v>41376</v>
      </c>
      <c r="BV256" s="70">
        <f t="shared" ref="BV256:CH256" si="67">BV7+BV11+BV14+BV16+BV18+BV19+BV22+BV24+BV29+BV30+BV31+BV32+BV33+BV34+BV35+BV42+BV43+BV44+BV28</f>
        <v>112323</v>
      </c>
      <c r="BW256" s="70">
        <f t="shared" si="67"/>
        <v>0</v>
      </c>
      <c r="BX256" s="70">
        <f t="shared" si="67"/>
        <v>103073</v>
      </c>
      <c r="BY256" s="70">
        <f t="shared" si="67"/>
        <v>13374.110000000004</v>
      </c>
      <c r="BZ256" s="70">
        <f t="shared" si="67"/>
        <v>12870.890000000001</v>
      </c>
      <c r="CA256" s="70">
        <f t="shared" si="67"/>
        <v>101403</v>
      </c>
      <c r="CB256" s="70">
        <f t="shared" si="67"/>
        <v>58989</v>
      </c>
      <c r="CC256" s="70">
        <f t="shared" si="67"/>
        <v>0</v>
      </c>
      <c r="CD256" s="70">
        <f t="shared" si="67"/>
        <v>0</v>
      </c>
      <c r="CE256" s="70">
        <f t="shared" si="67"/>
        <v>19</v>
      </c>
      <c r="CF256" s="70">
        <f t="shared" si="67"/>
        <v>97425</v>
      </c>
      <c r="CG256" s="70">
        <f t="shared" si="67"/>
        <v>19</v>
      </c>
      <c r="CH256" s="70">
        <f t="shared" si="67"/>
        <v>97425</v>
      </c>
      <c r="CI256" s="70"/>
      <c r="CJ256" s="70">
        <f>CJ7+CJ11+CJ14+CJ16+CJ18+CJ19+CJ22+CJ24+CJ29+CJ30+CJ31+CJ32+CJ33+CJ34+CJ35+CJ42+CJ43+CJ44+CJ28</f>
        <v>0</v>
      </c>
      <c r="CK256" s="70">
        <f>CK7+CK11+CK14+CK16+CK18+CK19+CK22+CK24+CK29+CK30+CK31+CK32+CK33+CK34+CK35+CK42+CK43+CK44+CK28</f>
        <v>0</v>
      </c>
      <c r="CL256" s="70"/>
      <c r="CM256" s="70">
        <f>CM7+CM11+CM14+CM16+CM18+CM19+CM22+CM24+CM29+CM30+CM31+CM32+CM33+CM34+CM35+CM42+CM43+CM44+CM28</f>
        <v>1</v>
      </c>
      <c r="CN256" s="70">
        <f>CN7+CN11+CN14+CN16+CN18+CN19+CN22+CN24+CN29+CN30+CN31+CN32+CN33+CN34+CN35+CN42+CN43+CN44+CN28</f>
        <v>6807.21</v>
      </c>
      <c r="CO256" s="70"/>
      <c r="CP256" s="70">
        <f t="shared" ref="CP256:DQ256" si="68">CP7+CP11+CP14+CP16+CP18+CP19+CP22+CP24+CP29+CP30+CP31+CP32+CP33+CP34+CP35+CP42+CP43+CP44+CP28</f>
        <v>19</v>
      </c>
      <c r="CQ256" s="70">
        <f t="shared" si="68"/>
        <v>0</v>
      </c>
      <c r="CR256" s="70">
        <f t="shared" si="68"/>
        <v>0</v>
      </c>
      <c r="CS256" s="70">
        <f t="shared" si="68"/>
        <v>0</v>
      </c>
      <c r="CT256" s="70">
        <f t="shared" si="68"/>
        <v>43</v>
      </c>
      <c r="CU256" s="70">
        <f t="shared" si="68"/>
        <v>0</v>
      </c>
      <c r="CV256" s="70">
        <f t="shared" si="68"/>
        <v>0</v>
      </c>
      <c r="CW256" s="70">
        <f t="shared" si="68"/>
        <v>0</v>
      </c>
      <c r="CX256" s="70">
        <f t="shared" si="68"/>
        <v>0</v>
      </c>
      <c r="CY256" s="70">
        <f t="shared" si="68"/>
        <v>1652</v>
      </c>
      <c r="CZ256" s="70">
        <f t="shared" si="68"/>
        <v>1556</v>
      </c>
      <c r="DA256" s="70">
        <f t="shared" si="68"/>
        <v>96</v>
      </c>
      <c r="DB256" s="70">
        <f t="shared" si="68"/>
        <v>1410</v>
      </c>
      <c r="DC256" s="70">
        <f t="shared" si="68"/>
        <v>545</v>
      </c>
      <c r="DD256" s="70">
        <f t="shared" si="68"/>
        <v>2376</v>
      </c>
      <c r="DE256" s="70">
        <f t="shared" si="68"/>
        <v>630</v>
      </c>
      <c r="DF256" s="70">
        <f t="shared" si="68"/>
        <v>545</v>
      </c>
      <c r="DG256" s="70">
        <f t="shared" si="68"/>
        <v>2389</v>
      </c>
      <c r="DH256" s="70">
        <f t="shared" si="68"/>
        <v>705</v>
      </c>
      <c r="DI256" s="70">
        <f t="shared" si="68"/>
        <v>71</v>
      </c>
      <c r="DJ256" s="70">
        <f t="shared" si="68"/>
        <v>14</v>
      </c>
      <c r="DK256" s="70">
        <f t="shared" si="68"/>
        <v>95</v>
      </c>
      <c r="DL256" s="70">
        <f t="shared" si="68"/>
        <v>15</v>
      </c>
      <c r="DM256" s="70">
        <f t="shared" si="68"/>
        <v>14</v>
      </c>
      <c r="DN256" s="70">
        <f t="shared" si="68"/>
        <v>96</v>
      </c>
      <c r="DO256" s="70">
        <f t="shared" si="68"/>
        <v>36</v>
      </c>
      <c r="DP256" s="70">
        <f t="shared" si="68"/>
        <v>1652</v>
      </c>
      <c r="DQ256" s="70">
        <f t="shared" si="68"/>
        <v>471</v>
      </c>
    </row>
    <row r="257" spans="2:121" s="18" customFormat="1">
      <c r="B257" s="66"/>
      <c r="C257" s="18" t="s">
        <v>18</v>
      </c>
      <c r="G257" s="73">
        <f>G45+G46+G48+G49+G50+G52</f>
        <v>6</v>
      </c>
      <c r="H257" s="263">
        <v>9</v>
      </c>
      <c r="I257" s="66"/>
      <c r="J257" s="73">
        <f t="shared" ref="J257:BU257" si="69">J45+J46+J48+J49+J50+J52</f>
        <v>174684</v>
      </c>
      <c r="K257" s="73">
        <f t="shared" si="69"/>
        <v>7298</v>
      </c>
      <c r="L257" s="73">
        <f t="shared" si="69"/>
        <v>7033</v>
      </c>
      <c r="M257" s="73">
        <f t="shared" si="69"/>
        <v>1246</v>
      </c>
      <c r="N257" s="73">
        <f t="shared" si="69"/>
        <v>2062</v>
      </c>
      <c r="O257" s="73">
        <f t="shared" si="69"/>
        <v>2062</v>
      </c>
      <c r="P257" s="73">
        <f t="shared" si="69"/>
        <v>2065</v>
      </c>
      <c r="Q257" s="73">
        <f t="shared" si="69"/>
        <v>2618</v>
      </c>
      <c r="R257" s="74">
        <f t="shared" si="69"/>
        <v>39413.97</v>
      </c>
      <c r="S257" s="73">
        <f t="shared" si="69"/>
        <v>28775.71</v>
      </c>
      <c r="T257" s="73">
        <f t="shared" si="69"/>
        <v>931</v>
      </c>
      <c r="U257" s="73">
        <f t="shared" si="69"/>
        <v>17965.309999999994</v>
      </c>
      <c r="V257" s="73">
        <f t="shared" si="69"/>
        <v>13132.460000000003</v>
      </c>
      <c r="W257" s="73">
        <f t="shared" si="69"/>
        <v>1131</v>
      </c>
      <c r="X257" s="73">
        <f t="shared" si="69"/>
        <v>21448.660000000011</v>
      </c>
      <c r="Y257" s="73">
        <f t="shared" si="69"/>
        <v>15643.25</v>
      </c>
      <c r="Z257" s="73">
        <f t="shared" si="69"/>
        <v>0</v>
      </c>
      <c r="AA257" s="73">
        <f t="shared" si="69"/>
        <v>0</v>
      </c>
      <c r="AB257" s="73">
        <f t="shared" si="69"/>
        <v>0</v>
      </c>
      <c r="AC257" s="73">
        <f t="shared" si="69"/>
        <v>289.46999999999997</v>
      </c>
      <c r="AD257" s="108">
        <f t="shared" si="69"/>
        <v>289.46999999999997</v>
      </c>
      <c r="AE257" s="73">
        <f t="shared" si="69"/>
        <v>0</v>
      </c>
      <c r="AF257" s="108">
        <f t="shared" si="69"/>
        <v>289.46999999999997</v>
      </c>
      <c r="AG257" s="73">
        <f t="shared" si="69"/>
        <v>0</v>
      </c>
      <c r="AH257" s="73">
        <f t="shared" si="69"/>
        <v>0</v>
      </c>
      <c r="AI257" s="73">
        <f t="shared" si="69"/>
        <v>39703.440000000002</v>
      </c>
      <c r="AJ257" s="73">
        <f t="shared" si="69"/>
        <v>0</v>
      </c>
      <c r="AK257" s="73">
        <f t="shared" si="69"/>
        <v>12</v>
      </c>
      <c r="AL257" s="73">
        <f t="shared" si="69"/>
        <v>12</v>
      </c>
      <c r="AM257" s="73">
        <f t="shared" si="69"/>
        <v>6</v>
      </c>
      <c r="AN257" s="73">
        <f t="shared" si="69"/>
        <v>0</v>
      </c>
      <c r="AO257" s="73">
        <f t="shared" si="69"/>
        <v>6</v>
      </c>
      <c r="AP257" s="73">
        <f t="shared" si="69"/>
        <v>24592</v>
      </c>
      <c r="AQ257" s="73">
        <f t="shared" si="69"/>
        <v>0</v>
      </c>
      <c r="AR257" s="73">
        <f t="shared" si="69"/>
        <v>1968</v>
      </c>
      <c r="AS257" s="73">
        <f t="shared" si="69"/>
        <v>1914</v>
      </c>
      <c r="AT257" s="73">
        <f t="shared" si="69"/>
        <v>5372</v>
      </c>
      <c r="AU257" s="73">
        <f t="shared" si="69"/>
        <v>51930</v>
      </c>
      <c r="AV257" s="73">
        <f t="shared" si="69"/>
        <v>0</v>
      </c>
      <c r="AW257" s="73">
        <f t="shared" si="69"/>
        <v>51930</v>
      </c>
      <c r="AX257" s="73">
        <f t="shared" si="69"/>
        <v>19657</v>
      </c>
      <c r="AY257" s="73">
        <f t="shared" si="69"/>
        <v>1354</v>
      </c>
      <c r="AZ257" s="73">
        <f t="shared" si="69"/>
        <v>7056</v>
      </c>
      <c r="BA257" s="73">
        <f t="shared" si="69"/>
        <v>7056</v>
      </c>
      <c r="BB257" s="73">
        <f t="shared" si="69"/>
        <v>351</v>
      </c>
      <c r="BC257" s="73">
        <f t="shared" si="69"/>
        <v>390</v>
      </c>
      <c r="BD257" s="73">
        <f t="shared" si="69"/>
        <v>2308</v>
      </c>
      <c r="BE257" s="73">
        <f t="shared" si="69"/>
        <v>6594</v>
      </c>
      <c r="BF257" s="73">
        <f t="shared" si="69"/>
        <v>6</v>
      </c>
      <c r="BG257" s="73">
        <f t="shared" si="69"/>
        <v>69156</v>
      </c>
      <c r="BH257" s="73">
        <f t="shared" si="69"/>
        <v>2320</v>
      </c>
      <c r="BI257" s="73">
        <f t="shared" si="69"/>
        <v>1200</v>
      </c>
      <c r="BJ257" s="101">
        <f t="shared" si="69"/>
        <v>0</v>
      </c>
      <c r="BK257" s="101">
        <f t="shared" si="69"/>
        <v>0</v>
      </c>
      <c r="BL257" s="101">
        <f t="shared" si="69"/>
        <v>0</v>
      </c>
      <c r="BM257" s="101">
        <f t="shared" si="69"/>
        <v>6</v>
      </c>
      <c r="BN257" s="101">
        <f t="shared" si="69"/>
        <v>39413.97</v>
      </c>
      <c r="BO257" s="101">
        <f t="shared" si="69"/>
        <v>28775.71</v>
      </c>
      <c r="BP257" s="101">
        <f t="shared" si="69"/>
        <v>0</v>
      </c>
      <c r="BQ257" s="101">
        <f t="shared" si="69"/>
        <v>0</v>
      </c>
      <c r="BR257" s="101">
        <f t="shared" si="69"/>
        <v>0</v>
      </c>
      <c r="BS257" s="73">
        <f t="shared" si="69"/>
        <v>0</v>
      </c>
      <c r="BT257" s="73">
        <f t="shared" si="69"/>
        <v>1</v>
      </c>
      <c r="BU257" s="73">
        <f t="shared" si="69"/>
        <v>0</v>
      </c>
      <c r="BV257" s="73">
        <f t="shared" ref="BV257:CH257" si="70">BV45+BV46+BV48+BV49+BV50+BV52</f>
        <v>0</v>
      </c>
      <c r="BW257" s="73">
        <f t="shared" si="70"/>
        <v>40</v>
      </c>
      <c r="BX257" s="73">
        <f t="shared" si="70"/>
        <v>0</v>
      </c>
      <c r="BY257" s="73">
        <f t="shared" si="70"/>
        <v>11276.699999999999</v>
      </c>
      <c r="BZ257" s="73">
        <f t="shared" si="70"/>
        <v>11276.699999999999</v>
      </c>
      <c r="CA257" s="73">
        <f t="shared" si="70"/>
        <v>17993</v>
      </c>
      <c r="CB257" s="73">
        <f t="shared" si="70"/>
        <v>10695</v>
      </c>
      <c r="CC257" s="73">
        <f t="shared" si="70"/>
        <v>0</v>
      </c>
      <c r="CD257" s="73">
        <f t="shared" si="70"/>
        <v>0</v>
      </c>
      <c r="CE257" s="73">
        <f t="shared" si="70"/>
        <v>6</v>
      </c>
      <c r="CF257" s="73">
        <f t="shared" si="70"/>
        <v>51930</v>
      </c>
      <c r="CG257" s="73">
        <f t="shared" si="70"/>
        <v>6</v>
      </c>
      <c r="CH257" s="73">
        <f t="shared" si="70"/>
        <v>51930</v>
      </c>
      <c r="CI257" s="264">
        <f>CI45+CI46+CI48+CI49+CI50+CI52</f>
        <v>409</v>
      </c>
      <c r="CJ257" s="101">
        <f>CJ45+CJ46+CJ48+CJ49+CJ50+CJ52</f>
        <v>4</v>
      </c>
      <c r="CK257" s="101">
        <f>CK45+CK46+CK48+CK49+CK50+CK52</f>
        <v>26417.37</v>
      </c>
      <c r="CL257" s="262"/>
      <c r="CM257" s="101">
        <f t="shared" ref="CM257:DQ257" si="71">CM45+CM46+CM48+CM49+CM50+CM52</f>
        <v>4</v>
      </c>
      <c r="CN257" s="101">
        <f t="shared" si="71"/>
        <v>26642.239999999998</v>
      </c>
      <c r="CO257" s="262">
        <f t="shared" si="71"/>
        <v>328.27558276666429</v>
      </c>
      <c r="CP257" s="73">
        <f t="shared" si="71"/>
        <v>6</v>
      </c>
      <c r="CQ257" s="73">
        <f t="shared" si="71"/>
        <v>0</v>
      </c>
      <c r="CR257" s="73">
        <f t="shared" si="71"/>
        <v>0</v>
      </c>
      <c r="CS257" s="73">
        <f t="shared" si="71"/>
        <v>3</v>
      </c>
      <c r="CT257" s="73">
        <f t="shared" si="71"/>
        <v>11</v>
      </c>
      <c r="CU257" s="73">
        <f t="shared" si="71"/>
        <v>0</v>
      </c>
      <c r="CV257" s="73">
        <f t="shared" si="71"/>
        <v>0</v>
      </c>
      <c r="CW257" s="73">
        <f t="shared" si="71"/>
        <v>6</v>
      </c>
      <c r="CX257" s="73">
        <f t="shared" si="71"/>
        <v>0</v>
      </c>
      <c r="CY257" s="73">
        <f t="shared" si="71"/>
        <v>2050</v>
      </c>
      <c r="CZ257" s="73">
        <f t="shared" si="71"/>
        <v>1032</v>
      </c>
      <c r="DA257" s="73">
        <f t="shared" si="71"/>
        <v>1018</v>
      </c>
      <c r="DB257" s="73">
        <f t="shared" si="71"/>
        <v>414</v>
      </c>
      <c r="DC257" s="73">
        <f t="shared" si="71"/>
        <v>254</v>
      </c>
      <c r="DD257" s="73">
        <f t="shared" si="71"/>
        <v>1032</v>
      </c>
      <c r="DE257" s="73">
        <f t="shared" si="71"/>
        <v>254</v>
      </c>
      <c r="DF257" s="73">
        <f t="shared" si="71"/>
        <v>254</v>
      </c>
      <c r="DG257" s="73">
        <f t="shared" si="71"/>
        <v>1032</v>
      </c>
      <c r="DH257" s="73">
        <f t="shared" si="71"/>
        <v>254</v>
      </c>
      <c r="DI257" s="73">
        <f t="shared" si="71"/>
        <v>221</v>
      </c>
      <c r="DJ257" s="73">
        <f t="shared" si="71"/>
        <v>182</v>
      </c>
      <c r="DK257" s="73">
        <f t="shared" si="71"/>
        <v>1018</v>
      </c>
      <c r="DL257" s="73">
        <f t="shared" si="71"/>
        <v>182</v>
      </c>
      <c r="DM257" s="73">
        <f t="shared" si="71"/>
        <v>182</v>
      </c>
      <c r="DN257" s="73">
        <f t="shared" si="71"/>
        <v>1018</v>
      </c>
      <c r="DO257" s="73">
        <f t="shared" si="71"/>
        <v>182</v>
      </c>
      <c r="DP257" s="73">
        <f t="shared" si="71"/>
        <v>2050</v>
      </c>
      <c r="DQ257" s="73">
        <f t="shared" si="71"/>
        <v>2050</v>
      </c>
    </row>
    <row r="258" spans="2:121">
      <c r="C258" s="18" t="s">
        <v>158</v>
      </c>
      <c r="E258" s="75"/>
      <c r="F258" s="75"/>
      <c r="G258" s="4">
        <f>G47+G51+G53</f>
        <v>3</v>
      </c>
      <c r="H258" s="260">
        <v>5</v>
      </c>
      <c r="I258" s="76"/>
      <c r="J258" s="4">
        <f t="shared" ref="J258:BU258" si="72">J47+J51+J53</f>
        <v>43976</v>
      </c>
      <c r="K258" s="4">
        <f t="shared" si="72"/>
        <v>2933</v>
      </c>
      <c r="L258" s="4">
        <f t="shared" si="72"/>
        <v>3746</v>
      </c>
      <c r="M258" s="4">
        <f t="shared" si="72"/>
        <v>0</v>
      </c>
      <c r="N258" s="4">
        <f t="shared" si="72"/>
        <v>378</v>
      </c>
      <c r="O258" s="4">
        <f t="shared" si="72"/>
        <v>423</v>
      </c>
      <c r="P258" s="4">
        <f t="shared" si="72"/>
        <v>405</v>
      </c>
      <c r="Q258" s="4">
        <f t="shared" si="72"/>
        <v>178</v>
      </c>
      <c r="R258" s="91">
        <f t="shared" si="72"/>
        <v>7557.02</v>
      </c>
      <c r="S258" s="4">
        <f t="shared" si="72"/>
        <v>5301.27</v>
      </c>
      <c r="T258" s="4">
        <f t="shared" si="72"/>
        <v>37</v>
      </c>
      <c r="U258" s="4">
        <f t="shared" si="72"/>
        <v>728.8299999999997</v>
      </c>
      <c r="V258" s="4">
        <f t="shared" si="72"/>
        <v>13.069999999999595</v>
      </c>
      <c r="W258" s="4">
        <f t="shared" si="72"/>
        <v>340</v>
      </c>
      <c r="X258" s="4">
        <f t="shared" si="72"/>
        <v>6059.39</v>
      </c>
      <c r="Y258" s="4">
        <f t="shared" si="72"/>
        <v>4707.5200000000004</v>
      </c>
      <c r="Z258" s="4">
        <f t="shared" si="72"/>
        <v>1</v>
      </c>
      <c r="AA258" s="4">
        <f t="shared" si="72"/>
        <v>768.8</v>
      </c>
      <c r="AB258" s="4">
        <f t="shared" si="72"/>
        <v>580.67999999999995</v>
      </c>
      <c r="AC258" s="4">
        <f t="shared" si="72"/>
        <v>1145.9000000000001</v>
      </c>
      <c r="AD258" s="109">
        <f t="shared" si="72"/>
        <v>852.69999999999993</v>
      </c>
      <c r="AE258" s="4">
        <f t="shared" si="72"/>
        <v>0</v>
      </c>
      <c r="AF258" s="109">
        <f t="shared" si="72"/>
        <v>852.69999999999993</v>
      </c>
      <c r="AG258" s="4">
        <f t="shared" si="72"/>
        <v>293.2</v>
      </c>
      <c r="AH258" s="4">
        <f t="shared" si="72"/>
        <v>0</v>
      </c>
      <c r="AI258" s="4">
        <f t="shared" si="72"/>
        <v>8702.92</v>
      </c>
      <c r="AJ258" s="4">
        <f t="shared" si="72"/>
        <v>0</v>
      </c>
      <c r="AK258" s="4">
        <f t="shared" si="72"/>
        <v>0</v>
      </c>
      <c r="AL258" s="4">
        <f t="shared" si="72"/>
        <v>8</v>
      </c>
      <c r="AM258" s="4">
        <f t="shared" si="72"/>
        <v>3</v>
      </c>
      <c r="AN258" s="4">
        <f t="shared" si="72"/>
        <v>0</v>
      </c>
      <c r="AO258" s="4">
        <f t="shared" si="72"/>
        <v>3</v>
      </c>
      <c r="AP258" s="4">
        <f t="shared" si="72"/>
        <v>7805</v>
      </c>
      <c r="AQ258" s="4">
        <f t="shared" si="72"/>
        <v>0</v>
      </c>
      <c r="AR258" s="4">
        <f t="shared" si="72"/>
        <v>897</v>
      </c>
      <c r="AS258" s="4">
        <f t="shared" si="72"/>
        <v>911</v>
      </c>
      <c r="AT258" s="4">
        <f t="shared" si="72"/>
        <v>1512</v>
      </c>
      <c r="AU258" s="4">
        <f t="shared" si="72"/>
        <v>7669</v>
      </c>
      <c r="AV258" s="4">
        <f t="shared" si="72"/>
        <v>0</v>
      </c>
      <c r="AW258" s="4">
        <f t="shared" si="72"/>
        <v>7669</v>
      </c>
      <c r="AX258" s="4">
        <f t="shared" si="72"/>
        <v>0</v>
      </c>
      <c r="AY258" s="4">
        <f t="shared" si="72"/>
        <v>493</v>
      </c>
      <c r="AZ258" s="4">
        <f t="shared" si="72"/>
        <v>3495</v>
      </c>
      <c r="BA258" s="4">
        <f t="shared" si="72"/>
        <v>3495</v>
      </c>
      <c r="BB258" s="4">
        <f t="shared" si="72"/>
        <v>56</v>
      </c>
      <c r="BC258" s="4">
        <f t="shared" si="72"/>
        <v>82</v>
      </c>
      <c r="BD258" s="4">
        <f t="shared" si="72"/>
        <v>618</v>
      </c>
      <c r="BE258" s="4">
        <f t="shared" si="72"/>
        <v>1598</v>
      </c>
      <c r="BF258" s="4">
        <f t="shared" si="72"/>
        <v>3</v>
      </c>
      <c r="BG258" s="4">
        <f t="shared" si="72"/>
        <v>11151</v>
      </c>
      <c r="BH258" s="4">
        <f t="shared" si="72"/>
        <v>470</v>
      </c>
      <c r="BI258" s="4">
        <f t="shared" si="72"/>
        <v>0</v>
      </c>
      <c r="BJ258" s="102">
        <f t="shared" si="72"/>
        <v>3</v>
      </c>
      <c r="BK258" s="102">
        <f t="shared" si="72"/>
        <v>7557.02</v>
      </c>
      <c r="BL258" s="102">
        <f t="shared" si="72"/>
        <v>5301.27</v>
      </c>
      <c r="BM258" s="102">
        <f t="shared" si="72"/>
        <v>0</v>
      </c>
      <c r="BN258" s="102">
        <f t="shared" si="72"/>
        <v>0</v>
      </c>
      <c r="BO258" s="102">
        <f t="shared" si="72"/>
        <v>0</v>
      </c>
      <c r="BP258" s="102">
        <f t="shared" si="72"/>
        <v>0</v>
      </c>
      <c r="BQ258" s="102">
        <f t="shared" si="72"/>
        <v>0</v>
      </c>
      <c r="BR258" s="102">
        <f t="shared" si="72"/>
        <v>0</v>
      </c>
      <c r="BS258" s="4">
        <f t="shared" si="72"/>
        <v>0</v>
      </c>
      <c r="BT258" s="4">
        <f t="shared" si="72"/>
        <v>0</v>
      </c>
      <c r="BU258" s="4">
        <f t="shared" si="72"/>
        <v>0</v>
      </c>
      <c r="BV258" s="4">
        <f t="shared" ref="BV258:CK258" si="73">BV47+BV51+BV53</f>
        <v>0</v>
      </c>
      <c r="BW258" s="4">
        <f t="shared" si="73"/>
        <v>0</v>
      </c>
      <c r="BX258" s="4">
        <f t="shared" si="73"/>
        <v>7805</v>
      </c>
      <c r="BY258" s="4">
        <f t="shared" si="73"/>
        <v>1989.58</v>
      </c>
      <c r="BZ258" s="4">
        <f t="shared" si="73"/>
        <v>1989.58</v>
      </c>
      <c r="CA258" s="4">
        <f t="shared" si="73"/>
        <v>8590</v>
      </c>
      <c r="CB258" s="4">
        <f t="shared" si="73"/>
        <v>5657</v>
      </c>
      <c r="CC258" s="4">
        <f t="shared" si="73"/>
        <v>0</v>
      </c>
      <c r="CD258" s="4">
        <f t="shared" si="73"/>
        <v>0</v>
      </c>
      <c r="CE258" s="4">
        <f t="shared" si="73"/>
        <v>3</v>
      </c>
      <c r="CF258" s="4">
        <f t="shared" si="73"/>
        <v>7669</v>
      </c>
      <c r="CG258" s="4">
        <f t="shared" si="73"/>
        <v>3</v>
      </c>
      <c r="CH258" s="4">
        <f t="shared" si="73"/>
        <v>7669</v>
      </c>
      <c r="CI258" s="265">
        <f t="shared" si="73"/>
        <v>159</v>
      </c>
      <c r="CJ258" s="102">
        <f t="shared" si="73"/>
        <v>3</v>
      </c>
      <c r="CK258" s="102">
        <f t="shared" si="73"/>
        <v>7557.02</v>
      </c>
      <c r="CL258" s="266"/>
      <c r="CM258" s="102">
        <f t="shared" ref="CM258:CN258" si="74">CM47+CM51+CM53</f>
        <v>3</v>
      </c>
      <c r="CN258" s="102">
        <f t="shared" si="74"/>
        <v>8702.92</v>
      </c>
      <c r="CO258" s="266"/>
      <c r="CP258" s="4">
        <f t="shared" ref="CP258:DQ258" si="75">CP47+CP51+CP53</f>
        <v>3</v>
      </c>
      <c r="CQ258" s="4">
        <f t="shared" si="75"/>
        <v>0</v>
      </c>
      <c r="CR258" s="4">
        <f t="shared" si="75"/>
        <v>0</v>
      </c>
      <c r="CS258" s="4">
        <f t="shared" si="75"/>
        <v>0</v>
      </c>
      <c r="CT258" s="4">
        <f t="shared" si="75"/>
        <v>4</v>
      </c>
      <c r="CU258" s="4">
        <f t="shared" si="75"/>
        <v>0</v>
      </c>
      <c r="CV258" s="4">
        <f t="shared" si="75"/>
        <v>0</v>
      </c>
      <c r="CW258" s="4">
        <f t="shared" si="75"/>
        <v>2</v>
      </c>
      <c r="CX258" s="4">
        <f t="shared" si="75"/>
        <v>0</v>
      </c>
      <c r="CY258" s="4">
        <f t="shared" si="75"/>
        <v>379</v>
      </c>
      <c r="CZ258" s="4">
        <f t="shared" si="75"/>
        <v>118</v>
      </c>
      <c r="DA258" s="4">
        <f t="shared" si="75"/>
        <v>226</v>
      </c>
      <c r="DB258" s="4">
        <f t="shared" si="75"/>
        <v>36</v>
      </c>
      <c r="DC258" s="4">
        <f t="shared" si="75"/>
        <v>6</v>
      </c>
      <c r="DD258" s="4">
        <f t="shared" si="75"/>
        <v>118</v>
      </c>
      <c r="DE258" s="4">
        <f t="shared" si="75"/>
        <v>6</v>
      </c>
      <c r="DF258" s="4">
        <f t="shared" si="75"/>
        <v>6</v>
      </c>
      <c r="DG258" s="4">
        <f t="shared" si="75"/>
        <v>118</v>
      </c>
      <c r="DH258" s="4">
        <f t="shared" si="75"/>
        <v>6</v>
      </c>
      <c r="DI258" s="4">
        <f t="shared" si="75"/>
        <v>123</v>
      </c>
      <c r="DJ258" s="4">
        <f t="shared" si="75"/>
        <v>3</v>
      </c>
      <c r="DK258" s="4">
        <f t="shared" si="75"/>
        <v>226</v>
      </c>
      <c r="DL258" s="4">
        <f t="shared" si="75"/>
        <v>3</v>
      </c>
      <c r="DM258" s="4">
        <f t="shared" si="75"/>
        <v>3</v>
      </c>
      <c r="DN258" s="4">
        <f t="shared" si="75"/>
        <v>226</v>
      </c>
      <c r="DO258" s="4">
        <f t="shared" si="75"/>
        <v>3</v>
      </c>
      <c r="DP258" s="4">
        <f t="shared" si="75"/>
        <v>379</v>
      </c>
      <c r="DQ258" s="4">
        <f t="shared" si="75"/>
        <v>344</v>
      </c>
    </row>
    <row r="259" spans="2:121">
      <c r="C259" s="83" t="s">
        <v>165</v>
      </c>
      <c r="D259" s="84"/>
      <c r="E259" s="84"/>
      <c r="F259" s="85"/>
      <c r="G259" s="86"/>
      <c r="H259" s="267">
        <v>5</v>
      </c>
      <c r="I259" s="76"/>
      <c r="R259" s="13"/>
      <c r="S259" s="13"/>
      <c r="AD259" s="13"/>
      <c r="AS259" s="13"/>
      <c r="CI259" s="205"/>
      <c r="CJ259" s="268"/>
      <c r="CK259" s="268"/>
      <c r="CL259" s="266"/>
      <c r="CM259" s="266"/>
      <c r="CN259" s="266"/>
      <c r="CO259" s="266"/>
    </row>
    <row r="260" spans="2:121">
      <c r="E260" s="75"/>
      <c r="F260" s="75"/>
      <c r="H260" s="76"/>
      <c r="I260" s="76"/>
      <c r="R260" s="77"/>
      <c r="S260" s="77"/>
      <c r="U260" s="78"/>
      <c r="V260" s="78"/>
      <c r="AD260" s="77"/>
    </row>
    <row r="261" spans="2:121">
      <c r="E261" s="75"/>
      <c r="F261" s="75"/>
      <c r="H261" s="76"/>
      <c r="I261" s="76"/>
      <c r="R261" s="77"/>
      <c r="S261" s="77"/>
      <c r="U261" s="78"/>
      <c r="V261" s="78"/>
      <c r="AC261" s="4"/>
      <c r="AD261" s="77"/>
    </row>
    <row r="262" spans="2:121">
      <c r="E262" s="75"/>
      <c r="F262" s="75"/>
      <c r="H262" s="76"/>
      <c r="I262" s="76"/>
      <c r="R262" s="77"/>
      <c r="S262" s="77"/>
      <c r="U262" s="78"/>
      <c r="V262" s="78"/>
      <c r="AD262" s="77"/>
    </row>
    <row r="263" spans="2:121">
      <c r="E263" s="75"/>
      <c r="F263" s="75"/>
      <c r="H263" s="76"/>
      <c r="I263" s="76"/>
      <c r="R263" s="77"/>
      <c r="S263" s="77"/>
      <c r="U263" s="78"/>
      <c r="V263" s="78"/>
      <c r="AD263" s="77"/>
    </row>
    <row r="264" spans="2:121">
      <c r="E264" s="75"/>
      <c r="F264" s="75"/>
      <c r="H264" s="76"/>
      <c r="I264" s="76"/>
      <c r="R264" s="77"/>
      <c r="S264" s="77"/>
      <c r="U264" s="78"/>
      <c r="V264" s="78"/>
      <c r="AD264" s="77"/>
      <c r="BK264" s="79"/>
    </row>
    <row r="265" spans="2:121">
      <c r="E265" s="75"/>
      <c r="F265" s="75"/>
      <c r="H265" s="76"/>
      <c r="I265" s="76"/>
      <c r="R265" s="13"/>
      <c r="S265" s="77"/>
      <c r="U265" s="78"/>
      <c r="V265" s="78"/>
      <c r="AD265" s="77"/>
    </row>
    <row r="266" spans="2:121">
      <c r="E266" s="75"/>
      <c r="F266" s="75"/>
      <c r="H266" s="76"/>
      <c r="I266" s="76"/>
      <c r="R266" s="77"/>
      <c r="S266" s="77"/>
      <c r="U266" s="78"/>
      <c r="V266" s="78"/>
      <c r="AD266" s="77"/>
    </row>
    <row r="267" spans="2:121">
      <c r="E267" s="75"/>
      <c r="F267" s="75"/>
      <c r="H267" s="76"/>
      <c r="I267" s="76"/>
      <c r="R267" s="77"/>
      <c r="S267" s="77"/>
      <c r="U267" s="78"/>
      <c r="V267" s="78"/>
      <c r="AD267" s="77"/>
    </row>
    <row r="268" spans="2:121">
      <c r="E268" s="75"/>
      <c r="F268" s="75"/>
      <c r="H268" s="76"/>
      <c r="I268" s="76"/>
      <c r="R268" s="77"/>
      <c r="S268" s="77"/>
      <c r="U268" s="78"/>
      <c r="V268" s="78"/>
      <c r="AD268" s="77"/>
    </row>
    <row r="269" spans="2:121">
      <c r="E269" s="75"/>
      <c r="F269" s="75"/>
      <c r="H269" s="76"/>
      <c r="I269" s="76"/>
      <c r="R269" s="77"/>
      <c r="S269" s="77"/>
      <c r="U269" s="78"/>
      <c r="V269" s="78"/>
      <c r="AD269" s="77"/>
    </row>
    <row r="270" spans="2:121">
      <c r="E270" s="75"/>
      <c r="F270" s="75"/>
      <c r="H270" s="76"/>
      <c r="I270" s="76"/>
      <c r="R270" s="77"/>
      <c r="S270" s="77"/>
      <c r="U270" s="78"/>
      <c r="V270" s="78"/>
      <c r="AD270" s="77"/>
    </row>
    <row r="271" spans="2:121">
      <c r="E271" s="75"/>
      <c r="F271" s="75"/>
      <c r="H271" s="76"/>
      <c r="I271" s="76"/>
      <c r="R271" s="77"/>
      <c r="S271" s="77"/>
      <c r="U271" s="78"/>
      <c r="V271" s="78"/>
      <c r="AD271" s="77"/>
    </row>
    <row r="272" spans="2:121">
      <c r="E272" s="75"/>
      <c r="F272" s="75"/>
      <c r="H272" s="76"/>
      <c r="I272" s="76"/>
      <c r="R272" s="77"/>
      <c r="S272" s="77"/>
      <c r="U272" s="78"/>
      <c r="V272" s="78"/>
      <c r="AD272" s="77"/>
    </row>
    <row r="273" spans="5:30">
      <c r="E273" s="75"/>
      <c r="F273" s="75"/>
      <c r="H273" s="76"/>
      <c r="I273" s="76"/>
      <c r="R273" s="77"/>
      <c r="S273" s="77"/>
      <c r="U273" s="78"/>
      <c r="V273" s="78"/>
      <c r="AD273" s="77"/>
    </row>
    <row r="274" spans="5:30">
      <c r="E274" s="75"/>
      <c r="F274" s="75"/>
      <c r="H274" s="76"/>
      <c r="I274" s="76"/>
      <c r="R274" s="77"/>
      <c r="S274" s="77"/>
      <c r="U274" s="78"/>
      <c r="V274" s="78"/>
      <c r="AD274" s="77"/>
    </row>
    <row r="275" spans="5:30">
      <c r="E275" s="75"/>
      <c r="F275" s="75"/>
      <c r="H275" s="76"/>
      <c r="I275" s="76"/>
      <c r="R275" s="77"/>
      <c r="S275" s="77"/>
      <c r="U275" s="78"/>
      <c r="V275" s="78"/>
      <c r="AD275" s="77"/>
    </row>
    <row r="276" spans="5:30">
      <c r="E276" s="75"/>
      <c r="F276" s="75"/>
      <c r="H276" s="76"/>
      <c r="I276" s="76"/>
      <c r="R276" s="77"/>
      <c r="S276" s="77"/>
      <c r="U276" s="78"/>
      <c r="V276" s="78"/>
      <c r="AD276" s="77"/>
    </row>
    <row r="277" spans="5:30">
      <c r="E277" s="75"/>
      <c r="F277" s="75"/>
      <c r="H277" s="76"/>
      <c r="I277" s="76"/>
      <c r="R277" s="77"/>
      <c r="S277" s="77"/>
      <c r="U277" s="78"/>
      <c r="V277" s="78"/>
      <c r="AD277" s="77"/>
    </row>
    <row r="278" spans="5:30">
      <c r="E278" s="75"/>
      <c r="F278" s="75"/>
      <c r="H278" s="76"/>
      <c r="I278" s="76"/>
      <c r="R278" s="77"/>
      <c r="S278" s="77"/>
      <c r="U278" s="78"/>
      <c r="V278" s="78"/>
      <c r="AD278" s="77"/>
    </row>
    <row r="279" spans="5:30">
      <c r="E279" s="75"/>
      <c r="F279" s="75"/>
      <c r="H279" s="76"/>
      <c r="I279" s="76"/>
      <c r="R279" s="77"/>
      <c r="S279" s="77"/>
      <c r="U279" s="78"/>
      <c r="V279" s="78"/>
      <c r="AD279" s="77"/>
    </row>
    <row r="280" spans="5:30">
      <c r="E280" s="75"/>
      <c r="F280" s="75"/>
      <c r="H280" s="76"/>
      <c r="I280" s="76"/>
      <c r="R280" s="77"/>
      <c r="S280" s="77"/>
      <c r="U280" s="78"/>
      <c r="V280" s="78"/>
      <c r="AD280" s="77"/>
    </row>
    <row r="281" spans="5:30">
      <c r="E281" s="75"/>
      <c r="F281" s="75"/>
      <c r="H281" s="76"/>
      <c r="I281" s="76"/>
      <c r="R281" s="77"/>
      <c r="S281" s="77"/>
      <c r="U281" s="78"/>
      <c r="V281" s="78"/>
      <c r="AD281" s="77"/>
    </row>
    <row r="282" spans="5:30">
      <c r="E282" s="75"/>
      <c r="F282" s="75"/>
      <c r="H282" s="76"/>
      <c r="I282" s="76"/>
      <c r="R282" s="77"/>
      <c r="S282" s="77"/>
      <c r="U282" s="78"/>
      <c r="V282" s="78"/>
      <c r="AD282" s="77"/>
    </row>
    <row r="283" spans="5:30">
      <c r="E283" s="75"/>
      <c r="F283" s="75"/>
      <c r="H283" s="76"/>
      <c r="I283" s="76"/>
      <c r="R283" s="77"/>
      <c r="S283" s="77"/>
      <c r="U283" s="78"/>
      <c r="V283" s="78"/>
      <c r="AD283" s="77"/>
    </row>
    <row r="284" spans="5:30">
      <c r="E284" s="75"/>
      <c r="F284" s="75"/>
      <c r="H284" s="76"/>
      <c r="I284" s="76"/>
      <c r="R284" s="77"/>
      <c r="S284" s="77"/>
      <c r="U284" s="78"/>
      <c r="V284" s="78"/>
      <c r="AD284" s="77"/>
    </row>
    <row r="285" spans="5:30">
      <c r="E285" s="75"/>
      <c r="F285" s="75"/>
      <c r="H285" s="76"/>
      <c r="I285" s="76"/>
      <c r="U285" s="78"/>
      <c r="V285" s="78"/>
    </row>
    <row r="286" spans="5:30">
      <c r="E286" s="75"/>
      <c r="F286" s="75"/>
      <c r="H286" s="76"/>
      <c r="I286" s="76"/>
      <c r="R286" s="77"/>
      <c r="S286" s="77"/>
      <c r="U286" s="78"/>
      <c r="V286" s="78"/>
      <c r="AD286" s="77"/>
    </row>
    <row r="287" spans="5:30">
      <c r="E287" s="75"/>
      <c r="F287" s="75"/>
      <c r="H287" s="76"/>
      <c r="I287" s="76"/>
      <c r="R287" s="77"/>
      <c r="S287" s="77"/>
      <c r="U287" s="78"/>
      <c r="V287" s="78"/>
      <c r="AD287" s="77"/>
    </row>
    <row r="288" spans="5:30">
      <c r="E288" s="75"/>
      <c r="F288" s="75"/>
      <c r="H288" s="76"/>
      <c r="I288" s="76"/>
      <c r="R288" s="77"/>
      <c r="S288" s="77"/>
      <c r="U288" s="78"/>
      <c r="V288" s="78"/>
      <c r="AD288" s="77"/>
    </row>
    <row r="289" spans="5:30">
      <c r="E289" s="75"/>
      <c r="F289" s="75"/>
      <c r="H289" s="76"/>
      <c r="I289" s="76"/>
      <c r="R289" s="77"/>
      <c r="S289" s="77"/>
      <c r="U289" s="78"/>
      <c r="V289" s="78"/>
      <c r="AD289" s="77"/>
    </row>
    <row r="290" spans="5:30">
      <c r="E290" s="75"/>
      <c r="F290" s="75"/>
      <c r="H290" s="76"/>
      <c r="I290" s="76"/>
      <c r="R290" s="77"/>
      <c r="S290" s="77"/>
      <c r="U290" s="78"/>
      <c r="V290" s="78"/>
      <c r="AD290" s="77"/>
    </row>
    <row r="291" spans="5:30">
      <c r="E291" s="75"/>
      <c r="F291" s="75"/>
      <c r="H291" s="76"/>
      <c r="I291" s="76"/>
      <c r="R291" s="77"/>
      <c r="S291" s="77"/>
      <c r="U291" s="78"/>
      <c r="V291" s="78"/>
      <c r="AD291" s="77"/>
    </row>
    <row r="292" spans="5:30">
      <c r="E292" s="75"/>
      <c r="F292" s="75"/>
      <c r="H292" s="76"/>
      <c r="I292" s="76"/>
      <c r="R292" s="77"/>
      <c r="S292" s="77"/>
      <c r="U292" s="78"/>
      <c r="V292" s="78"/>
      <c r="AD292" s="77"/>
    </row>
    <row r="293" spans="5:30">
      <c r="E293" s="75"/>
      <c r="F293" s="75"/>
      <c r="H293" s="76"/>
      <c r="I293" s="76"/>
      <c r="R293" s="77"/>
      <c r="S293" s="77"/>
      <c r="U293" s="78"/>
      <c r="V293" s="78"/>
      <c r="AD293" s="77"/>
    </row>
    <row r="294" spans="5:30">
      <c r="E294" s="75"/>
      <c r="F294" s="75"/>
      <c r="H294" s="76"/>
      <c r="I294" s="76"/>
      <c r="R294" s="77"/>
      <c r="S294" s="77"/>
      <c r="U294" s="78"/>
      <c r="V294" s="78"/>
      <c r="AD294" s="77"/>
    </row>
    <row r="295" spans="5:30">
      <c r="E295" s="75"/>
      <c r="F295" s="75"/>
      <c r="H295" s="76"/>
      <c r="I295" s="76"/>
      <c r="R295" s="77"/>
      <c r="S295" s="77"/>
      <c r="U295" s="78"/>
      <c r="V295" s="78"/>
      <c r="AD295" s="77"/>
    </row>
    <row r="296" spans="5:30">
      <c r="E296" s="75"/>
      <c r="F296" s="75"/>
      <c r="H296" s="76"/>
      <c r="I296" s="76"/>
      <c r="R296" s="77"/>
      <c r="S296" s="77"/>
      <c r="U296" s="78"/>
      <c r="V296" s="78"/>
      <c r="AD296" s="77"/>
    </row>
    <row r="297" spans="5:30">
      <c r="E297" s="75"/>
      <c r="F297" s="75"/>
      <c r="H297" s="76"/>
      <c r="I297" s="76"/>
      <c r="R297" s="77"/>
      <c r="S297" s="77"/>
      <c r="U297" s="78"/>
      <c r="V297" s="78"/>
      <c r="AD297" s="77"/>
    </row>
    <row r="298" spans="5:30">
      <c r="E298" s="75"/>
      <c r="F298" s="75"/>
      <c r="H298" s="76"/>
      <c r="I298" s="76"/>
      <c r="R298" s="77"/>
      <c r="S298" s="77"/>
      <c r="U298" s="78"/>
      <c r="V298" s="78"/>
      <c r="AD298" s="77"/>
    </row>
    <row r="299" spans="5:30">
      <c r="E299" s="75"/>
      <c r="F299" s="75"/>
      <c r="H299" s="76"/>
      <c r="I299" s="76"/>
      <c r="R299" s="77"/>
      <c r="S299" s="77"/>
      <c r="U299" s="78"/>
      <c r="V299" s="78"/>
      <c r="AD299" s="77"/>
    </row>
    <row r="300" spans="5:30">
      <c r="E300" s="75"/>
      <c r="F300" s="75"/>
      <c r="H300" s="76"/>
      <c r="I300" s="76"/>
      <c r="R300" s="77"/>
      <c r="S300" s="77"/>
      <c r="U300" s="78"/>
      <c r="V300" s="78"/>
      <c r="AD300" s="77"/>
    </row>
    <row r="301" spans="5:30">
      <c r="E301" s="75"/>
      <c r="F301" s="75"/>
      <c r="H301" s="76"/>
      <c r="I301" s="76"/>
      <c r="R301" s="77"/>
      <c r="S301" s="77"/>
      <c r="U301" s="78"/>
      <c r="V301" s="78"/>
      <c r="AD301" s="77"/>
    </row>
    <row r="302" spans="5:30">
      <c r="E302" s="75"/>
      <c r="F302" s="75"/>
      <c r="H302" s="76"/>
      <c r="I302" s="76"/>
      <c r="R302" s="77"/>
      <c r="S302" s="77"/>
      <c r="U302" s="78"/>
      <c r="V302" s="78"/>
      <c r="AD302" s="77"/>
    </row>
    <row r="303" spans="5:30">
      <c r="E303" s="75"/>
      <c r="F303" s="75"/>
      <c r="H303" s="76"/>
      <c r="I303" s="76"/>
      <c r="R303" s="77"/>
      <c r="S303" s="77"/>
      <c r="U303" s="78"/>
      <c r="V303" s="78"/>
      <c r="AD303" s="77"/>
    </row>
    <row r="304" spans="5:30">
      <c r="E304" s="75"/>
      <c r="F304" s="75"/>
      <c r="H304" s="76"/>
      <c r="I304" s="76"/>
      <c r="R304" s="77"/>
      <c r="S304" s="77"/>
      <c r="U304" s="78"/>
      <c r="V304" s="78"/>
      <c r="AD304" s="77"/>
    </row>
    <row r="305" spans="5:30">
      <c r="E305" s="75"/>
      <c r="F305" s="75"/>
      <c r="H305" s="76"/>
      <c r="I305" s="76"/>
      <c r="R305" s="77"/>
      <c r="S305" s="77"/>
      <c r="U305" s="78"/>
      <c r="V305" s="78"/>
      <c r="AD305" s="77"/>
    </row>
    <row r="306" spans="5:30">
      <c r="E306" s="75"/>
      <c r="F306" s="75"/>
      <c r="H306" s="76"/>
      <c r="I306" s="76"/>
      <c r="R306" s="77"/>
      <c r="S306" s="77"/>
      <c r="U306" s="78"/>
      <c r="V306" s="78"/>
      <c r="AD306" s="77"/>
    </row>
    <row r="307" spans="5:30">
      <c r="E307" s="75"/>
      <c r="F307" s="75"/>
      <c r="H307" s="76"/>
      <c r="I307" s="76"/>
      <c r="R307" s="77"/>
      <c r="S307" s="77"/>
      <c r="U307" s="78"/>
      <c r="V307" s="78"/>
      <c r="AD307" s="77"/>
    </row>
    <row r="308" spans="5:30">
      <c r="E308" s="75"/>
      <c r="F308" s="75"/>
      <c r="H308" s="76"/>
      <c r="I308" s="76"/>
      <c r="R308" s="77"/>
      <c r="S308" s="77"/>
      <c r="U308" s="78"/>
      <c r="V308" s="78"/>
      <c r="AD308" s="77"/>
    </row>
    <row r="309" spans="5:30">
      <c r="E309" s="75"/>
      <c r="F309" s="75"/>
      <c r="H309" s="76"/>
      <c r="I309" s="76"/>
      <c r="R309" s="77"/>
      <c r="S309" s="77"/>
      <c r="U309" s="78"/>
      <c r="V309" s="78"/>
      <c r="AD309" s="77"/>
    </row>
    <row r="310" spans="5:30">
      <c r="E310" s="75"/>
      <c r="F310" s="75"/>
      <c r="H310" s="76"/>
      <c r="I310" s="76"/>
      <c r="R310" s="77"/>
      <c r="S310" s="77"/>
      <c r="U310" s="78"/>
      <c r="V310" s="78"/>
      <c r="AD310" s="77"/>
    </row>
    <row r="311" spans="5:30">
      <c r="E311" s="75"/>
      <c r="F311" s="75"/>
      <c r="H311" s="76"/>
      <c r="I311" s="76"/>
      <c r="R311" s="77"/>
      <c r="S311" s="77"/>
      <c r="U311" s="78"/>
      <c r="V311" s="78"/>
      <c r="AD311" s="77"/>
    </row>
    <row r="312" spans="5:30">
      <c r="E312" s="75"/>
      <c r="F312" s="75"/>
      <c r="H312" s="76"/>
      <c r="I312" s="76"/>
      <c r="R312" s="77"/>
      <c r="S312" s="77"/>
      <c r="U312" s="78"/>
      <c r="V312" s="78"/>
      <c r="AD312" s="77"/>
    </row>
    <row r="313" spans="5:30">
      <c r="E313" s="75"/>
      <c r="F313" s="75"/>
      <c r="H313" s="76"/>
      <c r="I313" s="76"/>
      <c r="R313" s="77"/>
      <c r="S313" s="77"/>
      <c r="U313" s="78"/>
      <c r="V313" s="78"/>
      <c r="AD313" s="77"/>
    </row>
    <row r="314" spans="5:30">
      <c r="E314" s="75"/>
      <c r="F314" s="75"/>
      <c r="H314" s="76"/>
      <c r="I314" s="76"/>
      <c r="R314" s="77"/>
      <c r="S314" s="77"/>
      <c r="U314" s="78"/>
      <c r="V314" s="78"/>
      <c r="AD314" s="77"/>
    </row>
    <row r="315" spans="5:30">
      <c r="E315" s="75"/>
      <c r="F315" s="75"/>
      <c r="H315" s="76"/>
      <c r="I315" s="76"/>
      <c r="R315" s="77"/>
      <c r="S315" s="77"/>
      <c r="U315" s="78"/>
      <c r="V315" s="78"/>
      <c r="AD315" s="77"/>
    </row>
    <row r="316" spans="5:30">
      <c r="E316" s="75"/>
      <c r="F316" s="75"/>
      <c r="H316" s="76"/>
      <c r="I316" s="76"/>
      <c r="R316" s="77"/>
      <c r="S316" s="77"/>
      <c r="U316" s="78"/>
      <c r="V316" s="78"/>
      <c r="AD316" s="77"/>
    </row>
    <row r="317" spans="5:30">
      <c r="E317" s="75"/>
      <c r="F317" s="75"/>
      <c r="H317" s="76"/>
      <c r="I317" s="76"/>
      <c r="R317" s="77"/>
      <c r="S317" s="77"/>
      <c r="U317" s="78"/>
      <c r="V317" s="78"/>
      <c r="AD317" s="77"/>
    </row>
    <row r="318" spans="5:30">
      <c r="E318" s="75"/>
      <c r="F318" s="75"/>
      <c r="H318" s="76"/>
      <c r="I318" s="76"/>
      <c r="R318" s="77"/>
      <c r="S318" s="77"/>
      <c r="U318" s="78"/>
      <c r="V318" s="78"/>
      <c r="AD318" s="77"/>
    </row>
    <row r="319" spans="5:30">
      <c r="E319" s="75"/>
      <c r="F319" s="75"/>
      <c r="H319" s="76"/>
      <c r="I319" s="76"/>
      <c r="R319" s="77"/>
      <c r="S319" s="77"/>
      <c r="U319" s="78"/>
      <c r="V319" s="78"/>
      <c r="AD319" s="77"/>
    </row>
    <row r="320" spans="5:30">
      <c r="E320" s="75"/>
      <c r="F320" s="75"/>
      <c r="H320" s="76"/>
      <c r="I320" s="76"/>
      <c r="R320" s="77"/>
      <c r="S320" s="77"/>
      <c r="U320" s="78"/>
      <c r="V320" s="78"/>
      <c r="AD320" s="77"/>
    </row>
    <row r="321" spans="5:30">
      <c r="E321" s="75"/>
      <c r="F321" s="75"/>
      <c r="H321" s="76"/>
      <c r="I321" s="76"/>
      <c r="R321" s="77"/>
      <c r="S321" s="77"/>
      <c r="U321" s="78"/>
      <c r="V321" s="78"/>
      <c r="AD321" s="77"/>
    </row>
    <row r="322" spans="5:30">
      <c r="E322" s="75"/>
      <c r="F322" s="75"/>
      <c r="H322" s="76"/>
      <c r="I322" s="76"/>
      <c r="R322" s="77"/>
      <c r="S322" s="77"/>
      <c r="U322" s="78"/>
      <c r="V322" s="78"/>
      <c r="AD322" s="77"/>
    </row>
    <row r="323" spans="5:30">
      <c r="E323" s="75"/>
      <c r="F323" s="75"/>
      <c r="H323" s="76"/>
      <c r="I323" s="76"/>
      <c r="R323" s="77"/>
      <c r="S323" s="77"/>
      <c r="U323" s="78"/>
      <c r="V323" s="78"/>
      <c r="AD323" s="77"/>
    </row>
    <row r="324" spans="5:30">
      <c r="E324" s="75"/>
      <c r="F324" s="75"/>
      <c r="H324" s="76"/>
      <c r="I324" s="76"/>
      <c r="R324" s="77"/>
      <c r="S324" s="77"/>
      <c r="U324" s="78"/>
      <c r="V324" s="78"/>
      <c r="AD324" s="77"/>
    </row>
    <row r="325" spans="5:30">
      <c r="E325" s="75"/>
      <c r="F325" s="75"/>
      <c r="H325" s="76"/>
      <c r="I325" s="76"/>
      <c r="R325" s="77"/>
      <c r="S325" s="77"/>
      <c r="U325" s="78"/>
      <c r="V325" s="78"/>
      <c r="AD325" s="77"/>
    </row>
    <row r="326" spans="5:30">
      <c r="E326" s="75"/>
      <c r="F326" s="75"/>
      <c r="H326" s="76"/>
      <c r="I326" s="76"/>
      <c r="R326" s="77"/>
      <c r="S326" s="77"/>
      <c r="U326" s="78"/>
      <c r="V326" s="78"/>
      <c r="AD326" s="77"/>
    </row>
    <row r="327" spans="5:30">
      <c r="E327" s="75"/>
      <c r="F327" s="75"/>
      <c r="H327" s="76"/>
      <c r="I327" s="76"/>
      <c r="R327" s="77"/>
      <c r="S327" s="77"/>
      <c r="U327" s="78"/>
      <c r="V327" s="78"/>
      <c r="AD327" s="77"/>
    </row>
    <row r="328" spans="5:30">
      <c r="E328" s="75"/>
      <c r="F328" s="75"/>
      <c r="H328" s="76"/>
      <c r="I328" s="76"/>
      <c r="R328" s="77"/>
      <c r="S328" s="77"/>
      <c r="U328" s="78"/>
      <c r="V328" s="78"/>
      <c r="AD328" s="77"/>
    </row>
    <row r="329" spans="5:30">
      <c r="E329" s="75"/>
      <c r="F329" s="75"/>
      <c r="H329" s="76"/>
      <c r="I329" s="76"/>
      <c r="R329" s="77"/>
      <c r="S329" s="77"/>
      <c r="U329" s="78"/>
      <c r="V329" s="78"/>
      <c r="AD329" s="77"/>
    </row>
    <row r="330" spans="5:30">
      <c r="E330" s="75"/>
      <c r="F330" s="75"/>
      <c r="H330" s="76"/>
      <c r="I330" s="76"/>
      <c r="R330" s="77"/>
      <c r="S330" s="77"/>
      <c r="U330" s="78"/>
      <c r="V330" s="78"/>
      <c r="AD330" s="77"/>
    </row>
    <row r="331" spans="5:30">
      <c r="E331" s="75"/>
      <c r="F331" s="75"/>
      <c r="H331" s="76"/>
      <c r="I331" s="76"/>
      <c r="R331" s="77"/>
      <c r="S331" s="77"/>
      <c r="U331" s="78"/>
      <c r="V331" s="78"/>
      <c r="AD331" s="77"/>
    </row>
    <row r="332" spans="5:30">
      <c r="E332" s="75"/>
      <c r="F332" s="75"/>
      <c r="H332" s="76"/>
      <c r="I332" s="76"/>
      <c r="R332" s="77"/>
      <c r="S332" s="77"/>
      <c r="U332" s="78"/>
      <c r="V332" s="78"/>
      <c r="AD332" s="77"/>
    </row>
    <row r="333" spans="5:30">
      <c r="E333" s="75"/>
      <c r="F333" s="75"/>
      <c r="H333" s="76"/>
      <c r="I333" s="76"/>
      <c r="R333" s="77"/>
      <c r="S333" s="77"/>
      <c r="U333" s="78"/>
      <c r="V333" s="78"/>
      <c r="AD333" s="77"/>
    </row>
    <row r="334" spans="5:30">
      <c r="E334" s="75"/>
      <c r="F334" s="75"/>
      <c r="H334" s="76"/>
      <c r="I334" s="76"/>
      <c r="R334" s="77"/>
      <c r="S334" s="77"/>
      <c r="U334" s="78"/>
      <c r="V334" s="78"/>
      <c r="AD334" s="77"/>
    </row>
    <row r="335" spans="5:30">
      <c r="E335" s="75"/>
      <c r="F335" s="75"/>
      <c r="H335" s="76"/>
      <c r="I335" s="76"/>
      <c r="R335" s="77"/>
      <c r="S335" s="77"/>
      <c r="U335" s="78"/>
      <c r="V335" s="78"/>
      <c r="AD335" s="77"/>
    </row>
    <row r="336" spans="5:30">
      <c r="E336" s="75"/>
      <c r="F336" s="75"/>
      <c r="H336" s="76"/>
      <c r="I336" s="76"/>
      <c r="R336" s="77"/>
      <c r="S336" s="77"/>
      <c r="U336" s="78"/>
      <c r="V336" s="78"/>
      <c r="AD336" s="77"/>
    </row>
    <row r="337" spans="5:40">
      <c r="E337" s="75"/>
      <c r="F337" s="75"/>
      <c r="H337" s="76"/>
      <c r="I337" s="76"/>
      <c r="R337" s="77"/>
      <c r="S337" s="77"/>
      <c r="U337" s="78"/>
      <c r="V337" s="78"/>
      <c r="AD337" s="77"/>
    </row>
    <row r="338" spans="5:40">
      <c r="E338" s="75"/>
      <c r="F338" s="75"/>
      <c r="H338" s="76"/>
      <c r="I338" s="76"/>
      <c r="R338" s="77"/>
      <c r="S338" s="77"/>
      <c r="U338" s="78"/>
      <c r="V338" s="78"/>
      <c r="AD338" s="77"/>
    </row>
    <row r="339" spans="5:40">
      <c r="E339" s="75"/>
      <c r="F339" s="75"/>
      <c r="G339" s="77"/>
      <c r="H339" s="76"/>
      <c r="I339" s="76"/>
      <c r="J339" s="77"/>
      <c r="K339" s="77"/>
      <c r="N339" s="77"/>
      <c r="O339" s="77"/>
      <c r="P339" s="77"/>
      <c r="Q339" s="77"/>
      <c r="R339" s="77"/>
      <c r="S339" s="77"/>
      <c r="T339" s="77"/>
      <c r="U339" s="77"/>
      <c r="V339" s="77"/>
      <c r="AD339" s="77"/>
      <c r="AE339" s="77"/>
      <c r="AF339" s="77"/>
      <c r="AG339" s="77"/>
      <c r="AH339" s="77"/>
      <c r="AJ339" s="77"/>
      <c r="AK339" s="77"/>
      <c r="AL339" s="77"/>
      <c r="AM339" s="77"/>
      <c r="AN339" s="77"/>
    </row>
    <row r="340" spans="5:40">
      <c r="E340" s="75"/>
      <c r="F340" s="75"/>
      <c r="H340" s="76"/>
      <c r="I340" s="76"/>
      <c r="R340" s="77"/>
      <c r="S340" s="77"/>
      <c r="U340" s="78"/>
      <c r="V340" s="78"/>
      <c r="AD340" s="77"/>
    </row>
    <row r="341" spans="5:40">
      <c r="E341" s="75"/>
      <c r="F341" s="75"/>
      <c r="H341" s="76"/>
      <c r="I341" s="76"/>
      <c r="R341" s="77"/>
      <c r="S341" s="77"/>
      <c r="U341" s="78"/>
      <c r="V341" s="78"/>
      <c r="AD341" s="77"/>
    </row>
    <row r="342" spans="5:40">
      <c r="E342" s="75"/>
      <c r="F342" s="75"/>
      <c r="H342" s="76"/>
      <c r="I342" s="76"/>
      <c r="R342" s="77"/>
      <c r="S342" s="77"/>
      <c r="U342" s="78"/>
      <c r="V342" s="78"/>
      <c r="AD342" s="77"/>
    </row>
    <row r="343" spans="5:40">
      <c r="E343" s="75"/>
      <c r="F343" s="75"/>
      <c r="H343" s="76"/>
      <c r="I343" s="76"/>
      <c r="R343" s="77"/>
      <c r="S343" s="77"/>
      <c r="U343" s="78"/>
      <c r="V343" s="78"/>
      <c r="AD343" s="77"/>
    </row>
    <row r="344" spans="5:40">
      <c r="E344" s="75"/>
      <c r="F344" s="75"/>
      <c r="H344" s="76"/>
      <c r="I344" s="76"/>
      <c r="R344" s="77"/>
      <c r="S344" s="77"/>
      <c r="U344" s="78"/>
      <c r="V344" s="78"/>
      <c r="AD344" s="77"/>
    </row>
    <row r="345" spans="5:40">
      <c r="E345" s="75"/>
      <c r="F345" s="75"/>
      <c r="H345" s="76"/>
      <c r="I345" s="76"/>
      <c r="R345" s="77"/>
      <c r="S345" s="77"/>
      <c r="U345" s="78"/>
      <c r="V345" s="78"/>
      <c r="AD345" s="77"/>
    </row>
    <row r="346" spans="5:40">
      <c r="E346" s="75"/>
      <c r="F346" s="75"/>
      <c r="H346" s="76"/>
      <c r="I346" s="76"/>
      <c r="R346" s="77"/>
      <c r="S346" s="77"/>
      <c r="U346" s="78"/>
      <c r="V346" s="78"/>
      <c r="AD346" s="77"/>
    </row>
    <row r="347" spans="5:40">
      <c r="E347" s="75"/>
      <c r="F347" s="75"/>
      <c r="H347" s="76"/>
      <c r="I347" s="76"/>
      <c r="R347" s="77"/>
      <c r="S347" s="77"/>
      <c r="U347" s="78"/>
      <c r="V347" s="78"/>
      <c r="AD347" s="77"/>
    </row>
    <row r="348" spans="5:40">
      <c r="E348" s="75"/>
      <c r="F348" s="75"/>
      <c r="H348" s="76"/>
      <c r="I348" s="76"/>
      <c r="R348" s="77"/>
      <c r="S348" s="77"/>
      <c r="U348" s="78"/>
      <c r="V348" s="78"/>
      <c r="AD348" s="77"/>
    </row>
    <row r="349" spans="5:40">
      <c r="E349" s="75"/>
      <c r="F349" s="75"/>
      <c r="H349" s="76"/>
      <c r="I349" s="76"/>
      <c r="R349" s="77"/>
      <c r="S349" s="77"/>
      <c r="U349" s="78"/>
      <c r="V349" s="78"/>
      <c r="AD349" s="77"/>
    </row>
    <row r="350" spans="5:40">
      <c r="E350" s="75"/>
      <c r="F350" s="75"/>
      <c r="H350" s="76"/>
      <c r="I350" s="76"/>
      <c r="R350" s="77"/>
      <c r="S350" s="77"/>
      <c r="U350" s="78"/>
      <c r="V350" s="78"/>
      <c r="AD350" s="77"/>
    </row>
    <row r="351" spans="5:40">
      <c r="E351" s="75"/>
      <c r="F351" s="75"/>
      <c r="H351" s="76"/>
      <c r="I351" s="76"/>
      <c r="R351" s="77"/>
      <c r="S351" s="77"/>
      <c r="U351" s="78"/>
      <c r="V351" s="78"/>
      <c r="AD351" s="77"/>
    </row>
    <row r="352" spans="5:40">
      <c r="E352" s="75"/>
      <c r="F352" s="75"/>
      <c r="H352" s="76"/>
      <c r="I352" s="76"/>
      <c r="R352" s="77"/>
      <c r="S352" s="77"/>
      <c r="U352" s="78"/>
      <c r="V352" s="78"/>
      <c r="AD352" s="77"/>
    </row>
    <row r="353" spans="5:30">
      <c r="E353" s="75"/>
      <c r="F353" s="75"/>
      <c r="H353" s="76"/>
      <c r="I353" s="76"/>
      <c r="R353" s="77"/>
      <c r="S353" s="77"/>
      <c r="U353" s="78"/>
      <c r="V353" s="78"/>
      <c r="AD353" s="77"/>
    </row>
    <row r="354" spans="5:30">
      <c r="E354" s="75"/>
      <c r="F354" s="75"/>
      <c r="H354" s="76"/>
      <c r="I354" s="76"/>
      <c r="R354" s="77"/>
      <c r="S354" s="77"/>
      <c r="U354" s="78"/>
      <c r="V354" s="78"/>
      <c r="AD354" s="77"/>
    </row>
    <row r="355" spans="5:30">
      <c r="E355" s="75"/>
      <c r="F355" s="75"/>
      <c r="H355" s="76"/>
      <c r="I355" s="76"/>
      <c r="R355" s="77"/>
      <c r="S355" s="77"/>
      <c r="U355" s="78"/>
      <c r="V355" s="78"/>
      <c r="AD355" s="77"/>
    </row>
    <row r="356" spans="5:30">
      <c r="E356" s="75"/>
      <c r="F356" s="75"/>
      <c r="H356" s="76"/>
      <c r="I356" s="76"/>
      <c r="R356" s="77"/>
      <c r="S356" s="77"/>
      <c r="U356" s="78"/>
      <c r="V356" s="78"/>
      <c r="AD356" s="77"/>
    </row>
    <row r="357" spans="5:30">
      <c r="E357" s="75"/>
      <c r="F357" s="75"/>
      <c r="H357" s="76"/>
      <c r="I357" s="76"/>
      <c r="R357" s="77"/>
      <c r="S357" s="77"/>
      <c r="U357" s="78"/>
      <c r="V357" s="78"/>
      <c r="AD357" s="77"/>
    </row>
    <row r="358" spans="5:30">
      <c r="E358" s="75"/>
      <c r="F358" s="75"/>
      <c r="H358" s="76"/>
      <c r="I358" s="76"/>
      <c r="R358" s="77"/>
      <c r="S358" s="77"/>
      <c r="U358" s="78"/>
      <c r="V358" s="78"/>
      <c r="AD358" s="77"/>
    </row>
    <row r="359" spans="5:30">
      <c r="E359" s="75"/>
      <c r="F359" s="75"/>
      <c r="H359" s="76"/>
      <c r="I359" s="76"/>
      <c r="R359" s="77"/>
      <c r="S359" s="77"/>
      <c r="U359" s="78"/>
      <c r="V359" s="78"/>
      <c r="AD359" s="77"/>
    </row>
    <row r="360" spans="5:30">
      <c r="E360" s="75"/>
      <c r="F360" s="75"/>
      <c r="H360" s="76"/>
      <c r="I360" s="76"/>
      <c r="R360" s="77"/>
      <c r="S360" s="77"/>
      <c r="U360" s="78"/>
      <c r="V360" s="78"/>
      <c r="AD360" s="77"/>
    </row>
    <row r="361" spans="5:30">
      <c r="E361" s="75"/>
      <c r="F361" s="75"/>
      <c r="H361" s="76"/>
      <c r="I361" s="76"/>
      <c r="R361" s="77"/>
      <c r="S361" s="77"/>
      <c r="U361" s="78"/>
      <c r="V361" s="78"/>
      <c r="AD361" s="77"/>
    </row>
    <row r="362" spans="5:30">
      <c r="E362" s="75"/>
      <c r="F362" s="75"/>
      <c r="H362" s="76"/>
      <c r="I362" s="76"/>
      <c r="R362" s="77"/>
      <c r="S362" s="77"/>
      <c r="U362" s="78"/>
      <c r="V362" s="78"/>
      <c r="AD362" s="77"/>
    </row>
    <row r="363" spans="5:30">
      <c r="E363" s="75"/>
      <c r="F363" s="75"/>
      <c r="H363" s="76"/>
      <c r="I363" s="76"/>
      <c r="R363" s="77"/>
      <c r="S363" s="77"/>
      <c r="U363" s="78"/>
      <c r="V363" s="78"/>
      <c r="AD363" s="77"/>
    </row>
    <row r="364" spans="5:30">
      <c r="E364" s="75"/>
      <c r="F364" s="75"/>
      <c r="H364" s="76"/>
      <c r="I364" s="76"/>
      <c r="R364" s="77"/>
      <c r="S364" s="77"/>
      <c r="U364" s="78"/>
      <c r="V364" s="78"/>
      <c r="AD364" s="77"/>
    </row>
    <row r="365" spans="5:30">
      <c r="E365" s="75"/>
      <c r="F365" s="75"/>
      <c r="H365" s="76"/>
      <c r="I365" s="76"/>
      <c r="R365" s="77"/>
      <c r="S365" s="77"/>
      <c r="U365" s="78"/>
      <c r="V365" s="78"/>
      <c r="AD365" s="77"/>
    </row>
    <row r="366" spans="5:30">
      <c r="E366" s="75"/>
      <c r="F366" s="75"/>
      <c r="H366" s="76"/>
      <c r="I366" s="76"/>
      <c r="R366" s="77"/>
      <c r="S366" s="77"/>
      <c r="U366" s="78"/>
      <c r="V366" s="78"/>
      <c r="AD366" s="77"/>
    </row>
    <row r="367" spans="5:30">
      <c r="E367" s="75"/>
      <c r="F367" s="75"/>
      <c r="H367" s="76"/>
      <c r="I367" s="76"/>
      <c r="R367" s="77"/>
      <c r="S367" s="77"/>
      <c r="U367" s="78"/>
      <c r="V367" s="78"/>
      <c r="AD367" s="77"/>
    </row>
    <row r="368" spans="5:30">
      <c r="E368" s="75"/>
      <c r="F368" s="75"/>
      <c r="H368" s="76"/>
      <c r="I368" s="76"/>
      <c r="R368" s="77"/>
      <c r="S368" s="77"/>
      <c r="U368" s="78"/>
      <c r="V368" s="78"/>
      <c r="AD368" s="77"/>
    </row>
    <row r="369" spans="5:30">
      <c r="E369" s="75"/>
      <c r="F369" s="75"/>
      <c r="H369" s="76"/>
      <c r="I369" s="76"/>
      <c r="R369" s="77"/>
      <c r="S369" s="77"/>
      <c r="U369" s="78"/>
      <c r="V369" s="78"/>
      <c r="AD369" s="77"/>
    </row>
    <row r="370" spans="5:30">
      <c r="E370" s="75"/>
      <c r="F370" s="75"/>
      <c r="H370" s="76"/>
      <c r="I370" s="76"/>
      <c r="R370" s="77"/>
      <c r="S370" s="77"/>
      <c r="U370" s="78"/>
      <c r="V370" s="78"/>
      <c r="AD370" s="77"/>
    </row>
    <row r="371" spans="5:30">
      <c r="E371" s="75"/>
      <c r="F371" s="75"/>
      <c r="H371" s="76"/>
      <c r="I371" s="76"/>
      <c r="R371" s="77"/>
      <c r="S371" s="77"/>
      <c r="U371" s="78"/>
      <c r="V371" s="78"/>
      <c r="AD371" s="77"/>
    </row>
    <row r="372" spans="5:30">
      <c r="E372" s="75"/>
      <c r="F372" s="75"/>
      <c r="H372" s="76"/>
      <c r="I372" s="76"/>
      <c r="R372" s="77"/>
      <c r="S372" s="77"/>
      <c r="U372" s="78"/>
      <c r="V372" s="78"/>
      <c r="AD372" s="77"/>
    </row>
    <row r="373" spans="5:30">
      <c r="E373" s="75"/>
      <c r="F373" s="75"/>
      <c r="H373" s="76"/>
      <c r="I373" s="76"/>
      <c r="R373" s="77"/>
      <c r="S373" s="77"/>
      <c r="U373" s="78"/>
      <c r="V373" s="78"/>
      <c r="AD373" s="77"/>
    </row>
    <row r="374" spans="5:30">
      <c r="E374" s="75"/>
      <c r="F374" s="75"/>
      <c r="H374" s="76"/>
      <c r="I374" s="76"/>
      <c r="R374" s="77"/>
      <c r="S374" s="77"/>
      <c r="U374" s="78"/>
      <c r="V374" s="78"/>
      <c r="AD374" s="77"/>
    </row>
    <row r="375" spans="5:30">
      <c r="E375" s="75"/>
      <c r="F375" s="75"/>
      <c r="H375" s="76"/>
      <c r="I375" s="76"/>
      <c r="R375" s="77"/>
      <c r="S375" s="77"/>
      <c r="U375" s="78"/>
      <c r="V375" s="78"/>
      <c r="AD375" s="77"/>
    </row>
    <row r="376" spans="5:30">
      <c r="E376" s="75"/>
      <c r="F376" s="75"/>
      <c r="H376" s="76"/>
      <c r="I376" s="76"/>
      <c r="R376" s="77"/>
      <c r="S376" s="77"/>
      <c r="U376" s="78"/>
      <c r="V376" s="78"/>
      <c r="AD376" s="77"/>
    </row>
    <row r="377" spans="5:30">
      <c r="E377" s="75"/>
      <c r="F377" s="75"/>
      <c r="H377" s="76"/>
      <c r="I377" s="76"/>
      <c r="R377" s="77"/>
      <c r="S377" s="77"/>
      <c r="U377" s="78"/>
      <c r="V377" s="78"/>
      <c r="AD377" s="77"/>
    </row>
    <row r="378" spans="5:30">
      <c r="E378" s="75"/>
      <c r="F378" s="75"/>
      <c r="H378" s="76"/>
      <c r="I378" s="76"/>
      <c r="R378" s="77"/>
      <c r="S378" s="77"/>
      <c r="U378" s="78"/>
      <c r="V378" s="78"/>
      <c r="AD378" s="77"/>
    </row>
    <row r="379" spans="5:30">
      <c r="E379" s="75"/>
      <c r="F379" s="75"/>
      <c r="H379" s="76"/>
      <c r="I379" s="76"/>
      <c r="R379" s="77"/>
      <c r="S379" s="77"/>
      <c r="U379" s="78"/>
      <c r="V379" s="78"/>
      <c r="AD379" s="77"/>
    </row>
    <row r="380" spans="5:30">
      <c r="E380" s="75"/>
      <c r="F380" s="75"/>
      <c r="H380" s="76"/>
      <c r="I380" s="76"/>
      <c r="R380" s="77"/>
      <c r="S380" s="77"/>
      <c r="U380" s="78"/>
      <c r="V380" s="78"/>
      <c r="AD380" s="77"/>
    </row>
    <row r="381" spans="5:30">
      <c r="E381" s="75"/>
      <c r="F381" s="75"/>
      <c r="H381" s="76"/>
      <c r="I381" s="76"/>
      <c r="R381" s="77"/>
      <c r="S381" s="77"/>
      <c r="U381" s="78"/>
      <c r="V381" s="78"/>
      <c r="AD381" s="77"/>
    </row>
    <row r="382" spans="5:30">
      <c r="E382" s="75"/>
      <c r="F382" s="75"/>
      <c r="H382" s="76"/>
      <c r="I382" s="76"/>
      <c r="R382" s="77"/>
      <c r="S382" s="77"/>
      <c r="U382" s="78"/>
      <c r="V382" s="78"/>
      <c r="AD382" s="77"/>
    </row>
    <row r="383" spans="5:30">
      <c r="E383" s="75"/>
      <c r="F383" s="75"/>
      <c r="H383" s="76"/>
      <c r="I383" s="76"/>
      <c r="R383" s="77"/>
      <c r="S383" s="77"/>
      <c r="U383" s="78"/>
      <c r="V383" s="78"/>
      <c r="AD383" s="77"/>
    </row>
    <row r="384" spans="5:30">
      <c r="E384" s="75"/>
      <c r="F384" s="75"/>
      <c r="H384" s="76"/>
      <c r="I384" s="76"/>
      <c r="R384" s="77"/>
      <c r="S384" s="77"/>
      <c r="U384" s="78"/>
      <c r="V384" s="78"/>
      <c r="AD384" s="77"/>
    </row>
    <row r="385" spans="5:30">
      <c r="E385" s="75"/>
      <c r="F385" s="75"/>
      <c r="H385" s="76"/>
      <c r="I385" s="76"/>
      <c r="R385" s="77"/>
      <c r="S385" s="77"/>
      <c r="U385" s="78"/>
      <c r="V385" s="78"/>
      <c r="AD385" s="77"/>
    </row>
    <row r="386" spans="5:30">
      <c r="E386" s="75"/>
      <c r="F386" s="75"/>
      <c r="H386" s="76"/>
      <c r="I386" s="76"/>
      <c r="R386" s="77"/>
      <c r="S386" s="77"/>
      <c r="U386" s="78"/>
      <c r="V386" s="78"/>
      <c r="AD386" s="77"/>
    </row>
    <row r="387" spans="5:30">
      <c r="E387" s="75"/>
      <c r="F387" s="75"/>
      <c r="H387" s="76"/>
      <c r="I387" s="76"/>
      <c r="R387" s="77"/>
      <c r="S387" s="77"/>
      <c r="U387" s="78"/>
      <c r="V387" s="78"/>
      <c r="AD387" s="77"/>
    </row>
    <row r="388" spans="5:30">
      <c r="E388" s="75"/>
      <c r="F388" s="75"/>
      <c r="H388" s="76"/>
      <c r="I388" s="76"/>
      <c r="R388" s="77"/>
      <c r="S388" s="77"/>
      <c r="U388" s="78"/>
      <c r="V388" s="78"/>
      <c r="AD388" s="77"/>
    </row>
    <row r="389" spans="5:30">
      <c r="E389" s="75"/>
      <c r="F389" s="75"/>
      <c r="H389" s="76"/>
      <c r="I389" s="76"/>
      <c r="R389" s="77"/>
      <c r="S389" s="77"/>
      <c r="U389" s="78"/>
      <c r="V389" s="78"/>
      <c r="AD389" s="77"/>
    </row>
    <row r="390" spans="5:30">
      <c r="E390" s="75"/>
      <c r="F390" s="75"/>
      <c r="H390" s="76"/>
      <c r="I390" s="76"/>
      <c r="R390" s="77"/>
      <c r="S390" s="77"/>
      <c r="U390" s="78"/>
      <c r="V390" s="78"/>
      <c r="AD390" s="77"/>
    </row>
    <row r="391" spans="5:30">
      <c r="E391" s="75"/>
      <c r="F391" s="75"/>
      <c r="H391" s="76"/>
      <c r="I391" s="76"/>
      <c r="R391" s="77"/>
      <c r="S391" s="77"/>
      <c r="U391" s="78"/>
      <c r="V391" s="78"/>
      <c r="AD391" s="77"/>
    </row>
    <row r="392" spans="5:30">
      <c r="E392" s="75"/>
      <c r="F392" s="75"/>
      <c r="H392" s="76"/>
      <c r="I392" s="76"/>
      <c r="R392" s="77"/>
      <c r="S392" s="77"/>
      <c r="U392" s="78"/>
      <c r="V392" s="78"/>
      <c r="AD392" s="77"/>
    </row>
    <row r="393" spans="5:30">
      <c r="E393" s="75"/>
      <c r="F393" s="75"/>
      <c r="H393" s="76"/>
      <c r="I393" s="76"/>
      <c r="R393" s="77"/>
      <c r="S393" s="77"/>
      <c r="U393" s="78"/>
      <c r="V393" s="78"/>
      <c r="AD393" s="77"/>
    </row>
    <row r="394" spans="5:30">
      <c r="E394" s="75"/>
      <c r="F394" s="75"/>
      <c r="H394" s="76"/>
      <c r="I394" s="76"/>
      <c r="R394" s="77"/>
      <c r="S394" s="77"/>
      <c r="U394" s="78"/>
      <c r="V394" s="78"/>
      <c r="AD394" s="77"/>
    </row>
    <row r="395" spans="5:30">
      <c r="E395" s="75"/>
      <c r="F395" s="75"/>
      <c r="H395" s="76"/>
      <c r="I395" s="76"/>
      <c r="R395" s="77"/>
      <c r="S395" s="77"/>
      <c r="U395" s="78"/>
      <c r="V395" s="78"/>
      <c r="AD395" s="77"/>
    </row>
    <row r="396" spans="5:30">
      <c r="E396" s="75"/>
      <c r="F396" s="75"/>
      <c r="H396" s="76"/>
      <c r="I396" s="76"/>
      <c r="R396" s="77"/>
      <c r="S396" s="77"/>
      <c r="U396" s="78"/>
      <c r="V396" s="78"/>
      <c r="AD396" s="77"/>
    </row>
    <row r="397" spans="5:30">
      <c r="E397" s="75"/>
      <c r="F397" s="75"/>
      <c r="H397" s="76"/>
      <c r="I397" s="76"/>
      <c r="R397" s="77"/>
      <c r="S397" s="77"/>
      <c r="U397" s="78"/>
      <c r="V397" s="78"/>
      <c r="AD397" s="77"/>
    </row>
    <row r="398" spans="5:30">
      <c r="E398" s="75"/>
      <c r="F398" s="75"/>
      <c r="H398" s="76"/>
      <c r="I398" s="76"/>
      <c r="R398" s="77"/>
      <c r="S398" s="77"/>
      <c r="U398" s="78"/>
      <c r="V398" s="78"/>
      <c r="AD398" s="77"/>
    </row>
    <row r="399" spans="5:30">
      <c r="E399" s="75"/>
      <c r="F399" s="75"/>
      <c r="H399" s="76"/>
      <c r="I399" s="76"/>
      <c r="R399" s="77"/>
      <c r="S399" s="77"/>
      <c r="U399" s="78"/>
      <c r="V399" s="78"/>
      <c r="AD399" s="77"/>
    </row>
    <row r="400" spans="5:30">
      <c r="E400" s="75"/>
      <c r="F400" s="75"/>
      <c r="H400" s="76"/>
      <c r="I400" s="76"/>
      <c r="R400" s="77"/>
      <c r="S400" s="77"/>
      <c r="U400" s="78"/>
      <c r="V400" s="78"/>
      <c r="AD400" s="77"/>
    </row>
    <row r="401" spans="5:40">
      <c r="E401" s="75"/>
      <c r="F401" s="75"/>
      <c r="H401" s="76"/>
      <c r="I401" s="76"/>
      <c r="R401" s="77"/>
      <c r="S401" s="77"/>
      <c r="U401" s="78"/>
      <c r="V401" s="78"/>
      <c r="AD401" s="77"/>
    </row>
    <row r="402" spans="5:40">
      <c r="E402" s="75"/>
      <c r="F402" s="75"/>
      <c r="H402" s="76"/>
      <c r="I402" s="76"/>
      <c r="R402" s="77"/>
      <c r="S402" s="77"/>
      <c r="U402" s="78"/>
      <c r="V402" s="78"/>
      <c r="AD402" s="77"/>
    </row>
    <row r="403" spans="5:40">
      <c r="E403" s="75"/>
      <c r="F403" s="75"/>
      <c r="H403" s="76"/>
      <c r="I403" s="76"/>
      <c r="R403" s="77"/>
      <c r="S403" s="77"/>
      <c r="U403" s="78"/>
      <c r="V403" s="78"/>
      <c r="AD403" s="77"/>
    </row>
    <row r="404" spans="5:40">
      <c r="E404" s="75"/>
      <c r="F404" s="75"/>
      <c r="H404" s="76"/>
      <c r="I404" s="76"/>
      <c r="R404" s="77"/>
      <c r="S404" s="77"/>
      <c r="U404" s="78"/>
      <c r="V404" s="78"/>
      <c r="AD404" s="77"/>
    </row>
    <row r="405" spans="5:40">
      <c r="E405" s="75"/>
      <c r="F405" s="75"/>
      <c r="H405" s="76"/>
      <c r="I405" s="76"/>
      <c r="R405" s="77"/>
      <c r="S405" s="77"/>
      <c r="U405" s="78"/>
      <c r="V405" s="78"/>
      <c r="AD405" s="77"/>
    </row>
    <row r="406" spans="5:40">
      <c r="E406" s="75"/>
      <c r="F406" s="75"/>
      <c r="H406" s="76"/>
      <c r="I406" s="76"/>
      <c r="R406" s="77"/>
      <c r="S406" s="77"/>
      <c r="U406" s="78"/>
      <c r="V406" s="78"/>
      <c r="AD406" s="77"/>
    </row>
    <row r="407" spans="5:40">
      <c r="E407" s="75"/>
      <c r="F407" s="75"/>
      <c r="H407" s="76"/>
      <c r="I407" s="76"/>
      <c r="R407" s="77"/>
      <c r="S407" s="77"/>
      <c r="U407" s="78"/>
      <c r="V407" s="78"/>
      <c r="AD407" s="77"/>
    </row>
    <row r="408" spans="5:40">
      <c r="E408" s="75"/>
      <c r="F408" s="75"/>
      <c r="H408" s="76"/>
      <c r="I408" s="76"/>
      <c r="R408" s="77"/>
      <c r="S408" s="77"/>
      <c r="U408" s="78"/>
      <c r="V408" s="78"/>
      <c r="AD408" s="77"/>
    </row>
    <row r="409" spans="5:40">
      <c r="E409" s="75"/>
      <c r="F409" s="75"/>
      <c r="H409" s="76"/>
      <c r="I409" s="76"/>
      <c r="R409" s="77"/>
      <c r="S409" s="77"/>
      <c r="U409" s="78"/>
      <c r="V409" s="78"/>
      <c r="AD409" s="77"/>
    </row>
    <row r="410" spans="5:40">
      <c r="E410" s="75"/>
      <c r="F410" s="75"/>
      <c r="H410" s="76"/>
      <c r="I410" s="76"/>
      <c r="R410" s="77"/>
      <c r="S410" s="77"/>
      <c r="U410" s="78"/>
      <c r="V410" s="78"/>
      <c r="AD410" s="77"/>
    </row>
    <row r="411" spans="5:40">
      <c r="E411" s="75"/>
      <c r="F411" s="75"/>
      <c r="H411" s="76"/>
      <c r="I411" s="76"/>
      <c r="R411" s="77"/>
      <c r="S411" s="77"/>
      <c r="U411" s="78"/>
      <c r="V411" s="78"/>
      <c r="AD411" s="77"/>
    </row>
    <row r="412" spans="5:40">
      <c r="E412" s="75"/>
      <c r="F412" s="75"/>
      <c r="H412" s="76"/>
      <c r="I412" s="76"/>
      <c r="R412" s="77"/>
      <c r="S412" s="77"/>
      <c r="U412" s="78"/>
      <c r="V412" s="78"/>
      <c r="AD412" s="77"/>
    </row>
    <row r="413" spans="5:40">
      <c r="E413" s="75"/>
      <c r="F413" s="75"/>
      <c r="H413" s="76"/>
      <c r="I413" s="76"/>
      <c r="R413" s="77"/>
      <c r="S413" s="77"/>
      <c r="U413" s="78"/>
      <c r="V413" s="78"/>
      <c r="AD413" s="77"/>
    </row>
    <row r="414" spans="5:40">
      <c r="E414" s="75"/>
      <c r="F414" s="75"/>
      <c r="H414" s="76"/>
      <c r="I414" s="76"/>
      <c r="R414" s="77"/>
      <c r="S414" s="77"/>
      <c r="U414" s="78"/>
      <c r="V414" s="78"/>
      <c r="AD414" s="77"/>
    </row>
    <row r="415" spans="5:40">
      <c r="E415" s="75"/>
      <c r="F415" s="75"/>
      <c r="G415" s="77"/>
      <c r="H415" s="76"/>
      <c r="I415" s="76"/>
      <c r="J415" s="77"/>
      <c r="K415" s="77"/>
      <c r="N415" s="77"/>
      <c r="O415" s="77"/>
      <c r="P415" s="77"/>
      <c r="Q415" s="77"/>
      <c r="R415" s="77"/>
      <c r="S415" s="77"/>
      <c r="T415" s="77"/>
      <c r="U415" s="77"/>
      <c r="V415" s="77"/>
      <c r="AD415" s="77"/>
      <c r="AE415" s="77"/>
      <c r="AF415" s="77"/>
      <c r="AG415" s="77"/>
      <c r="AH415" s="77"/>
      <c r="AJ415" s="77"/>
      <c r="AK415" s="77"/>
      <c r="AL415" s="77"/>
      <c r="AM415" s="77"/>
      <c r="AN415" s="77"/>
    </row>
    <row r="416" spans="5:40">
      <c r="E416" s="75"/>
      <c r="F416" s="75"/>
      <c r="H416" s="76"/>
      <c r="I416" s="76"/>
      <c r="R416" s="77"/>
      <c r="S416" s="77"/>
      <c r="U416" s="78"/>
      <c r="V416" s="78"/>
      <c r="AD416" s="77"/>
    </row>
    <row r="417" spans="5:30">
      <c r="E417" s="75"/>
      <c r="F417" s="75"/>
      <c r="H417" s="76"/>
      <c r="I417" s="76"/>
      <c r="R417" s="77"/>
      <c r="S417" s="77"/>
      <c r="U417" s="78"/>
      <c r="V417" s="78"/>
      <c r="AD417" s="77"/>
    </row>
    <row r="418" spans="5:30">
      <c r="E418" s="75"/>
      <c r="F418" s="75"/>
      <c r="H418" s="76"/>
      <c r="I418" s="76"/>
      <c r="R418" s="77"/>
      <c r="S418" s="77"/>
      <c r="U418" s="78"/>
      <c r="V418" s="78"/>
      <c r="AD418" s="77"/>
    </row>
    <row r="419" spans="5:30">
      <c r="E419" s="75"/>
      <c r="F419" s="75"/>
      <c r="H419" s="76"/>
      <c r="I419" s="76"/>
      <c r="R419" s="77"/>
      <c r="S419" s="77"/>
      <c r="U419" s="78"/>
      <c r="V419" s="78"/>
      <c r="AD419" s="77"/>
    </row>
    <row r="420" spans="5:30">
      <c r="E420" s="75"/>
      <c r="F420" s="75"/>
      <c r="H420" s="76"/>
      <c r="I420" s="76"/>
      <c r="R420" s="77"/>
      <c r="S420" s="77"/>
      <c r="U420" s="78"/>
      <c r="V420" s="78"/>
      <c r="AD420" s="77"/>
    </row>
    <row r="421" spans="5:30">
      <c r="E421" s="75"/>
      <c r="F421" s="75"/>
      <c r="H421" s="76"/>
      <c r="I421" s="76"/>
      <c r="R421" s="77"/>
      <c r="S421" s="77"/>
      <c r="U421" s="78"/>
      <c r="V421" s="78"/>
      <c r="AD421" s="77"/>
    </row>
    <row r="422" spans="5:30">
      <c r="E422" s="75"/>
      <c r="F422" s="75"/>
      <c r="H422" s="76"/>
      <c r="I422" s="76"/>
      <c r="R422" s="77"/>
      <c r="S422" s="77"/>
      <c r="U422" s="78"/>
      <c r="V422" s="78"/>
      <c r="AD422" s="77"/>
    </row>
    <row r="423" spans="5:30">
      <c r="E423" s="75"/>
      <c r="F423" s="75"/>
      <c r="H423" s="76"/>
      <c r="I423" s="76"/>
      <c r="R423" s="77"/>
      <c r="S423" s="77"/>
      <c r="U423" s="78"/>
      <c r="V423" s="78"/>
      <c r="AD423" s="77"/>
    </row>
    <row r="424" spans="5:30">
      <c r="E424" s="75"/>
      <c r="F424" s="75"/>
      <c r="H424" s="76"/>
      <c r="I424" s="76"/>
      <c r="R424" s="77"/>
      <c r="S424" s="77"/>
      <c r="U424" s="78"/>
      <c r="V424" s="78"/>
      <c r="AD424" s="77"/>
    </row>
    <row r="425" spans="5:30">
      <c r="E425" s="75"/>
      <c r="F425" s="75"/>
      <c r="H425" s="76"/>
      <c r="I425" s="76"/>
      <c r="R425" s="77"/>
      <c r="S425" s="77"/>
      <c r="U425" s="78"/>
      <c r="V425" s="78"/>
      <c r="AD425" s="77"/>
    </row>
    <row r="426" spans="5:30">
      <c r="E426" s="75"/>
      <c r="F426" s="75"/>
      <c r="H426" s="76"/>
      <c r="I426" s="76"/>
      <c r="R426" s="77"/>
      <c r="S426" s="77"/>
      <c r="U426" s="78"/>
      <c r="V426" s="78"/>
      <c r="AD426" s="77"/>
    </row>
    <row r="427" spans="5:30">
      <c r="E427" s="75"/>
      <c r="F427" s="75"/>
      <c r="H427" s="76"/>
      <c r="I427" s="76"/>
      <c r="R427" s="77"/>
      <c r="S427" s="77"/>
      <c r="U427" s="78"/>
      <c r="V427" s="78"/>
      <c r="AD427" s="77"/>
    </row>
    <row r="428" spans="5:30">
      <c r="E428" s="75"/>
      <c r="F428" s="75"/>
      <c r="H428" s="76"/>
      <c r="I428" s="76"/>
      <c r="R428" s="77"/>
      <c r="S428" s="77"/>
      <c r="U428" s="78"/>
      <c r="V428" s="78"/>
      <c r="AD428" s="77"/>
    </row>
    <row r="429" spans="5:30">
      <c r="E429" s="75"/>
      <c r="F429" s="75"/>
      <c r="H429" s="76"/>
      <c r="I429" s="76"/>
      <c r="R429" s="77"/>
      <c r="S429" s="77"/>
      <c r="U429" s="78"/>
      <c r="V429" s="78"/>
      <c r="AD429" s="77"/>
    </row>
    <row r="430" spans="5:30">
      <c r="E430" s="75"/>
      <c r="F430" s="75"/>
      <c r="H430" s="76"/>
      <c r="I430" s="76"/>
      <c r="R430" s="77"/>
      <c r="S430" s="77"/>
      <c r="U430" s="78"/>
      <c r="V430" s="78"/>
      <c r="AD430" s="77"/>
    </row>
    <row r="431" spans="5:30">
      <c r="E431" s="75"/>
      <c r="F431" s="75"/>
      <c r="H431" s="76"/>
      <c r="I431" s="76"/>
      <c r="R431" s="77"/>
      <c r="S431" s="77"/>
      <c r="U431" s="78"/>
      <c r="V431" s="78"/>
      <c r="AD431" s="77"/>
    </row>
    <row r="432" spans="5:30">
      <c r="E432" s="75"/>
      <c r="F432" s="75"/>
      <c r="H432" s="76"/>
      <c r="I432" s="76"/>
      <c r="R432" s="77"/>
      <c r="S432" s="77"/>
      <c r="U432" s="78"/>
      <c r="V432" s="78"/>
      <c r="AD432" s="77"/>
    </row>
    <row r="433" spans="5:30">
      <c r="E433" s="75"/>
      <c r="F433" s="75"/>
      <c r="H433" s="76"/>
      <c r="I433" s="76"/>
      <c r="R433" s="77"/>
      <c r="S433" s="77"/>
      <c r="U433" s="78"/>
      <c r="V433" s="78"/>
      <c r="AD433" s="77"/>
    </row>
    <row r="434" spans="5:30">
      <c r="E434" s="75"/>
      <c r="F434" s="75"/>
      <c r="H434" s="76"/>
      <c r="I434" s="76"/>
      <c r="R434" s="77"/>
      <c r="S434" s="77"/>
      <c r="U434" s="78"/>
      <c r="V434" s="78"/>
      <c r="AD434" s="77"/>
    </row>
    <row r="435" spans="5:30">
      <c r="E435" s="75"/>
      <c r="F435" s="75"/>
      <c r="H435" s="76"/>
      <c r="I435" s="76"/>
      <c r="R435" s="77"/>
      <c r="S435" s="77"/>
      <c r="U435" s="78"/>
      <c r="V435" s="78"/>
      <c r="AD435" s="77"/>
    </row>
    <row r="436" spans="5:30">
      <c r="E436" s="75"/>
      <c r="F436" s="75"/>
      <c r="H436" s="76"/>
      <c r="I436" s="76"/>
      <c r="R436" s="77"/>
      <c r="S436" s="77"/>
      <c r="U436" s="78"/>
      <c r="V436" s="78"/>
      <c r="AD436" s="77"/>
    </row>
    <row r="437" spans="5:30">
      <c r="E437" s="75"/>
      <c r="F437" s="75"/>
      <c r="H437" s="76"/>
      <c r="I437" s="76"/>
      <c r="R437" s="77"/>
      <c r="S437" s="77"/>
      <c r="U437" s="78"/>
      <c r="V437" s="78"/>
      <c r="AD437" s="77"/>
    </row>
    <row r="438" spans="5:30">
      <c r="E438" s="75"/>
      <c r="F438" s="75"/>
      <c r="H438" s="76"/>
      <c r="I438" s="76"/>
      <c r="R438" s="77"/>
      <c r="S438" s="77"/>
      <c r="U438" s="78"/>
      <c r="V438" s="78"/>
      <c r="AD438" s="77"/>
    </row>
    <row r="439" spans="5:30">
      <c r="E439" s="75"/>
      <c r="F439" s="75"/>
      <c r="H439" s="76"/>
      <c r="I439" s="76"/>
      <c r="R439" s="77"/>
      <c r="S439" s="77"/>
      <c r="U439" s="78"/>
      <c r="V439" s="78"/>
      <c r="AD439" s="77"/>
    </row>
    <row r="440" spans="5:30">
      <c r="E440" s="75"/>
      <c r="F440" s="75"/>
      <c r="H440" s="76"/>
      <c r="I440" s="76"/>
      <c r="R440" s="77"/>
      <c r="S440" s="77"/>
      <c r="U440" s="78"/>
      <c r="V440" s="78"/>
      <c r="AD440" s="77"/>
    </row>
    <row r="441" spans="5:30">
      <c r="E441" s="75"/>
      <c r="F441" s="75"/>
      <c r="H441" s="76"/>
      <c r="I441" s="76"/>
      <c r="R441" s="77"/>
      <c r="S441" s="77"/>
      <c r="U441" s="78"/>
      <c r="V441" s="78"/>
      <c r="AD441" s="77"/>
    </row>
    <row r="442" spans="5:30">
      <c r="E442" s="75"/>
      <c r="F442" s="75"/>
      <c r="H442" s="76"/>
      <c r="I442" s="76"/>
      <c r="R442" s="77"/>
      <c r="S442" s="77"/>
      <c r="U442" s="78"/>
      <c r="V442" s="78"/>
      <c r="AD442" s="77"/>
    </row>
    <row r="443" spans="5:30">
      <c r="E443" s="75"/>
      <c r="F443" s="75"/>
      <c r="H443" s="76"/>
      <c r="I443" s="76"/>
      <c r="R443" s="77"/>
      <c r="S443" s="77"/>
      <c r="U443" s="78"/>
      <c r="V443" s="78"/>
      <c r="AD443" s="77"/>
    </row>
    <row r="444" spans="5:30">
      <c r="E444" s="75"/>
      <c r="F444" s="75"/>
      <c r="H444" s="76"/>
      <c r="I444" s="76"/>
      <c r="R444" s="77"/>
      <c r="S444" s="77"/>
      <c r="U444" s="78"/>
      <c r="V444" s="78"/>
      <c r="AD444" s="77"/>
    </row>
    <row r="445" spans="5:30">
      <c r="E445" s="75"/>
      <c r="F445" s="75"/>
      <c r="H445" s="76"/>
      <c r="I445" s="76"/>
      <c r="R445" s="77"/>
      <c r="S445" s="77"/>
      <c r="U445" s="78"/>
      <c r="V445" s="78"/>
      <c r="AD445" s="77"/>
    </row>
    <row r="446" spans="5:30">
      <c r="E446" s="75"/>
      <c r="F446" s="75"/>
      <c r="H446" s="76"/>
      <c r="I446" s="76"/>
      <c r="R446" s="77"/>
      <c r="S446" s="77"/>
      <c r="U446" s="78"/>
      <c r="V446" s="78"/>
      <c r="AD446" s="77"/>
    </row>
    <row r="447" spans="5:30">
      <c r="E447" s="75"/>
      <c r="F447" s="75"/>
      <c r="H447" s="76"/>
      <c r="I447" s="76"/>
      <c r="R447" s="77"/>
      <c r="S447" s="77"/>
      <c r="U447" s="78"/>
      <c r="V447" s="78"/>
      <c r="AD447" s="77"/>
    </row>
    <row r="448" spans="5:30">
      <c r="E448" s="75"/>
      <c r="F448" s="75"/>
      <c r="H448" s="76"/>
      <c r="I448" s="76"/>
      <c r="R448" s="77"/>
      <c r="S448" s="77"/>
      <c r="U448" s="78"/>
      <c r="V448" s="78"/>
      <c r="AD448" s="77"/>
    </row>
    <row r="449" spans="5:30">
      <c r="E449" s="75"/>
      <c r="F449" s="75"/>
      <c r="H449" s="76"/>
      <c r="I449" s="76"/>
      <c r="R449" s="77"/>
      <c r="S449" s="77"/>
      <c r="U449" s="78"/>
      <c r="V449" s="78"/>
      <c r="AD449" s="77"/>
    </row>
    <row r="450" spans="5:30">
      <c r="E450" s="75"/>
      <c r="F450" s="75"/>
      <c r="H450" s="76"/>
      <c r="I450" s="76"/>
      <c r="R450" s="77"/>
      <c r="S450" s="77"/>
      <c r="U450" s="78"/>
      <c r="V450" s="78"/>
      <c r="AD450" s="77"/>
    </row>
    <row r="451" spans="5:30">
      <c r="E451" s="75"/>
      <c r="F451" s="75"/>
      <c r="H451" s="76"/>
      <c r="I451" s="76"/>
      <c r="R451" s="77"/>
      <c r="S451" s="77"/>
      <c r="U451" s="78"/>
      <c r="V451" s="78"/>
      <c r="AD451" s="77"/>
    </row>
    <row r="452" spans="5:30">
      <c r="E452" s="75"/>
      <c r="F452" s="75"/>
      <c r="H452" s="76"/>
      <c r="I452" s="76"/>
      <c r="R452" s="77"/>
      <c r="S452" s="77"/>
      <c r="U452" s="78"/>
      <c r="V452" s="78"/>
      <c r="AD452" s="77"/>
    </row>
    <row r="453" spans="5:30">
      <c r="E453" s="75"/>
      <c r="F453" s="75"/>
      <c r="H453" s="76"/>
      <c r="I453" s="76"/>
      <c r="R453" s="77"/>
      <c r="S453" s="77"/>
      <c r="U453" s="78"/>
      <c r="V453" s="78"/>
      <c r="AD453" s="77"/>
    </row>
    <row r="454" spans="5:30">
      <c r="E454" s="75"/>
      <c r="F454" s="75"/>
      <c r="H454" s="76"/>
      <c r="I454" s="76"/>
      <c r="R454" s="77"/>
      <c r="S454" s="77"/>
      <c r="U454" s="78"/>
      <c r="V454" s="78"/>
      <c r="AD454" s="77"/>
    </row>
    <row r="455" spans="5:30">
      <c r="E455" s="75"/>
      <c r="F455" s="75"/>
      <c r="H455" s="76"/>
      <c r="I455" s="76"/>
      <c r="R455" s="77"/>
      <c r="S455" s="77"/>
      <c r="U455" s="78"/>
      <c r="V455" s="78"/>
      <c r="AD455" s="77"/>
    </row>
    <row r="456" spans="5:30">
      <c r="E456" s="75"/>
      <c r="F456" s="75"/>
      <c r="H456" s="76"/>
      <c r="I456" s="76"/>
      <c r="R456" s="77"/>
      <c r="S456" s="77"/>
      <c r="U456" s="78"/>
      <c r="V456" s="78"/>
      <c r="AD456" s="77"/>
    </row>
    <row r="457" spans="5:30">
      <c r="E457" s="75"/>
      <c r="F457" s="75"/>
      <c r="H457" s="76"/>
      <c r="I457" s="76"/>
      <c r="R457" s="77"/>
      <c r="S457" s="77"/>
      <c r="U457" s="78"/>
      <c r="V457" s="78"/>
      <c r="AD457" s="77"/>
    </row>
    <row r="458" spans="5:30">
      <c r="E458" s="75"/>
      <c r="F458" s="75"/>
      <c r="H458" s="76"/>
      <c r="I458" s="76"/>
      <c r="R458" s="77"/>
      <c r="S458" s="77"/>
      <c r="U458" s="78"/>
      <c r="V458" s="78"/>
      <c r="AD458" s="77"/>
    </row>
    <row r="459" spans="5:30">
      <c r="E459" s="75"/>
      <c r="F459" s="75"/>
      <c r="H459" s="76"/>
      <c r="I459" s="76"/>
      <c r="R459" s="77"/>
      <c r="S459" s="77"/>
      <c r="U459" s="78"/>
      <c r="V459" s="78"/>
      <c r="AD459" s="77"/>
    </row>
    <row r="460" spans="5:30">
      <c r="E460" s="75"/>
      <c r="F460" s="75"/>
      <c r="H460" s="76"/>
      <c r="I460" s="76"/>
      <c r="R460" s="77"/>
      <c r="S460" s="77"/>
      <c r="U460" s="78"/>
      <c r="V460" s="78"/>
      <c r="AD460" s="77"/>
    </row>
    <row r="461" spans="5:30">
      <c r="E461" s="75"/>
      <c r="F461" s="75"/>
      <c r="H461" s="76"/>
      <c r="I461" s="76"/>
      <c r="R461" s="77"/>
      <c r="S461" s="77"/>
      <c r="U461" s="78"/>
      <c r="V461" s="78"/>
      <c r="AD461" s="77"/>
    </row>
    <row r="462" spans="5:30">
      <c r="E462" s="75"/>
      <c r="F462" s="75"/>
      <c r="H462" s="76"/>
      <c r="I462" s="76"/>
      <c r="R462" s="77"/>
      <c r="S462" s="77"/>
      <c r="U462" s="78"/>
      <c r="V462" s="78"/>
      <c r="AD462" s="77"/>
    </row>
    <row r="463" spans="5:30">
      <c r="E463" s="75"/>
      <c r="F463" s="75"/>
      <c r="H463" s="76"/>
      <c r="I463" s="76"/>
      <c r="R463" s="77"/>
      <c r="S463" s="77"/>
      <c r="U463" s="78"/>
      <c r="V463" s="78"/>
      <c r="AD463" s="77"/>
    </row>
    <row r="464" spans="5:30">
      <c r="E464" s="75"/>
      <c r="F464" s="75"/>
      <c r="H464" s="76"/>
      <c r="I464" s="76"/>
      <c r="R464" s="77"/>
      <c r="S464" s="77"/>
      <c r="U464" s="78"/>
      <c r="V464" s="78"/>
      <c r="AD464" s="77"/>
    </row>
    <row r="465" spans="5:30">
      <c r="E465" s="75"/>
      <c r="F465" s="75"/>
      <c r="H465" s="76"/>
      <c r="I465" s="76"/>
      <c r="R465" s="77"/>
      <c r="S465" s="77"/>
      <c r="U465" s="78"/>
      <c r="V465" s="78"/>
      <c r="AD465" s="77"/>
    </row>
    <row r="466" spans="5:30">
      <c r="E466" s="75"/>
      <c r="F466" s="75"/>
      <c r="H466" s="76"/>
      <c r="I466" s="76"/>
      <c r="R466" s="77"/>
      <c r="S466" s="77"/>
      <c r="U466" s="78"/>
      <c r="V466" s="78"/>
      <c r="AD466" s="77"/>
    </row>
    <row r="467" spans="5:30">
      <c r="E467" s="75"/>
      <c r="F467" s="75"/>
      <c r="H467" s="76"/>
      <c r="I467" s="76"/>
      <c r="R467" s="77"/>
      <c r="S467" s="77"/>
      <c r="U467" s="78"/>
      <c r="V467" s="78"/>
      <c r="AD467" s="77"/>
    </row>
    <row r="468" spans="5:30">
      <c r="E468" s="75"/>
      <c r="F468" s="75"/>
      <c r="H468" s="76"/>
      <c r="I468" s="76"/>
      <c r="R468" s="77"/>
      <c r="S468" s="77"/>
      <c r="U468" s="78"/>
      <c r="V468" s="78"/>
      <c r="AD468" s="77"/>
    </row>
    <row r="469" spans="5:30">
      <c r="E469" s="75"/>
      <c r="F469" s="75"/>
      <c r="H469" s="76"/>
      <c r="I469" s="76"/>
      <c r="R469" s="77"/>
      <c r="S469" s="77"/>
      <c r="U469" s="78"/>
      <c r="V469" s="78"/>
      <c r="AD469" s="77"/>
    </row>
    <row r="470" spans="5:30">
      <c r="E470" s="75"/>
      <c r="F470" s="75"/>
      <c r="H470" s="76"/>
      <c r="I470" s="76"/>
      <c r="R470" s="77"/>
      <c r="S470" s="77"/>
      <c r="U470" s="78"/>
      <c r="V470" s="78"/>
      <c r="AD470" s="77"/>
    </row>
    <row r="471" spans="5:30">
      <c r="E471" s="75"/>
      <c r="F471" s="75"/>
      <c r="H471" s="76"/>
      <c r="I471" s="76"/>
      <c r="R471" s="77"/>
      <c r="S471" s="77"/>
      <c r="U471" s="78"/>
      <c r="V471" s="78"/>
      <c r="AD471" s="77"/>
    </row>
    <row r="472" spans="5:30">
      <c r="E472" s="75"/>
      <c r="F472" s="75"/>
      <c r="H472" s="76"/>
      <c r="I472" s="76"/>
      <c r="R472" s="77"/>
      <c r="S472" s="77"/>
      <c r="U472" s="78"/>
      <c r="V472" s="78"/>
      <c r="AD472" s="77"/>
    </row>
    <row r="473" spans="5:30">
      <c r="E473" s="75"/>
      <c r="F473" s="75"/>
      <c r="H473" s="76"/>
      <c r="I473" s="76"/>
      <c r="R473" s="77"/>
      <c r="S473" s="77"/>
      <c r="U473" s="78"/>
      <c r="V473" s="78"/>
      <c r="AD473" s="77"/>
    </row>
    <row r="474" spans="5:30">
      <c r="E474" s="75"/>
      <c r="F474" s="75"/>
      <c r="H474" s="76"/>
      <c r="I474" s="76"/>
      <c r="R474" s="77"/>
      <c r="S474" s="77"/>
      <c r="U474" s="78"/>
      <c r="V474" s="78"/>
      <c r="AD474" s="77"/>
    </row>
    <row r="475" spans="5:30">
      <c r="E475" s="75"/>
      <c r="F475" s="75"/>
      <c r="H475" s="76"/>
      <c r="I475" s="76"/>
      <c r="R475" s="77"/>
      <c r="S475" s="77"/>
      <c r="U475" s="78"/>
      <c r="V475" s="78"/>
      <c r="AD475" s="77"/>
    </row>
    <row r="476" spans="5:30">
      <c r="E476" s="75"/>
      <c r="F476" s="75"/>
      <c r="H476" s="76"/>
      <c r="I476" s="76"/>
      <c r="R476" s="77"/>
      <c r="S476" s="77"/>
      <c r="U476" s="78"/>
      <c r="V476" s="78"/>
      <c r="AD476" s="77"/>
    </row>
    <row r="477" spans="5:30">
      <c r="E477" s="75"/>
      <c r="F477" s="75"/>
      <c r="H477" s="76"/>
      <c r="I477" s="76"/>
      <c r="R477" s="77"/>
      <c r="S477" s="77"/>
      <c r="U477" s="78"/>
      <c r="V477" s="78"/>
      <c r="AD477" s="77"/>
    </row>
    <row r="478" spans="5:30">
      <c r="E478" s="75"/>
      <c r="F478" s="75"/>
      <c r="H478" s="76"/>
      <c r="I478" s="76"/>
      <c r="R478" s="77"/>
      <c r="S478" s="77"/>
      <c r="U478" s="78"/>
      <c r="V478" s="78"/>
      <c r="AD478" s="77"/>
    </row>
    <row r="479" spans="5:30">
      <c r="E479" s="75"/>
      <c r="F479" s="75"/>
      <c r="H479" s="76"/>
      <c r="I479" s="76"/>
      <c r="R479" s="77"/>
      <c r="S479" s="77"/>
      <c r="U479" s="78"/>
      <c r="V479" s="78"/>
      <c r="AD479" s="77"/>
    </row>
    <row r="480" spans="5:30">
      <c r="E480" s="75"/>
      <c r="F480" s="75"/>
      <c r="H480" s="76"/>
      <c r="I480" s="76"/>
      <c r="R480" s="77"/>
      <c r="S480" s="77"/>
      <c r="U480" s="78"/>
      <c r="V480" s="78"/>
      <c r="AD480" s="77"/>
    </row>
    <row r="481" spans="5:40">
      <c r="E481" s="75"/>
      <c r="F481" s="75"/>
      <c r="H481" s="76"/>
      <c r="I481" s="76"/>
      <c r="R481" s="77"/>
      <c r="S481" s="77"/>
      <c r="U481" s="78"/>
      <c r="V481" s="78"/>
      <c r="AD481" s="77"/>
    </row>
    <row r="482" spans="5:40">
      <c r="E482" s="75"/>
      <c r="F482" s="75"/>
      <c r="H482" s="76"/>
      <c r="I482" s="76"/>
      <c r="R482" s="77"/>
      <c r="S482" s="77"/>
      <c r="U482" s="78"/>
      <c r="V482" s="78"/>
      <c r="AD482" s="77"/>
    </row>
    <row r="483" spans="5:40">
      <c r="E483" s="75"/>
      <c r="F483" s="75"/>
      <c r="H483" s="76"/>
      <c r="I483" s="76"/>
      <c r="R483" s="77"/>
      <c r="S483" s="77"/>
      <c r="U483" s="78"/>
      <c r="V483" s="78"/>
      <c r="AD483" s="77"/>
    </row>
    <row r="484" spans="5:40">
      <c r="E484" s="75"/>
      <c r="F484" s="75"/>
      <c r="H484" s="76"/>
      <c r="I484" s="76"/>
      <c r="R484" s="77"/>
      <c r="S484" s="77"/>
      <c r="U484" s="78"/>
      <c r="V484" s="78"/>
      <c r="AD484" s="77"/>
    </row>
    <row r="485" spans="5:40">
      <c r="E485" s="75"/>
      <c r="F485" s="75"/>
      <c r="H485" s="76"/>
      <c r="I485" s="76"/>
      <c r="R485" s="77"/>
      <c r="S485" s="77"/>
      <c r="U485" s="78"/>
      <c r="V485" s="78"/>
      <c r="AD485" s="77"/>
    </row>
    <row r="486" spans="5:40">
      <c r="E486" s="75"/>
      <c r="F486" s="75"/>
      <c r="H486" s="76"/>
      <c r="I486" s="76"/>
      <c r="R486" s="77"/>
      <c r="S486" s="77"/>
      <c r="U486" s="78"/>
      <c r="V486" s="78"/>
      <c r="AD486" s="77"/>
    </row>
    <row r="487" spans="5:40">
      <c r="E487" s="75"/>
      <c r="F487" s="75"/>
      <c r="H487" s="76"/>
      <c r="I487" s="76"/>
      <c r="R487" s="77"/>
      <c r="S487" s="77"/>
      <c r="U487" s="78"/>
      <c r="V487" s="78"/>
      <c r="AD487" s="77"/>
    </row>
    <row r="488" spans="5:40">
      <c r="E488" s="75"/>
      <c r="F488" s="75"/>
      <c r="H488" s="76"/>
      <c r="I488" s="76"/>
      <c r="R488" s="77"/>
      <c r="S488" s="77"/>
      <c r="U488" s="78"/>
      <c r="V488" s="78"/>
      <c r="AD488" s="77"/>
    </row>
    <row r="489" spans="5:40">
      <c r="E489" s="75"/>
      <c r="F489" s="75"/>
      <c r="H489" s="76"/>
      <c r="I489" s="76"/>
      <c r="R489" s="77"/>
      <c r="S489" s="77"/>
      <c r="U489" s="78"/>
      <c r="V489" s="78"/>
      <c r="AD489" s="77"/>
    </row>
    <row r="490" spans="5:40">
      <c r="E490" s="75"/>
      <c r="F490" s="75"/>
      <c r="H490" s="76"/>
      <c r="I490" s="76"/>
      <c r="R490" s="77"/>
      <c r="S490" s="77"/>
      <c r="U490" s="78"/>
      <c r="V490" s="78"/>
      <c r="AD490" s="77"/>
    </row>
    <row r="491" spans="5:40">
      <c r="E491" s="75"/>
      <c r="F491" s="75"/>
      <c r="H491" s="76"/>
      <c r="I491" s="76"/>
      <c r="R491" s="77"/>
      <c r="S491" s="77"/>
      <c r="U491" s="78"/>
      <c r="V491" s="78"/>
      <c r="AD491" s="77"/>
    </row>
    <row r="492" spans="5:40">
      <c r="E492" s="75"/>
      <c r="F492" s="75"/>
      <c r="H492" s="76"/>
      <c r="I492" s="76"/>
      <c r="R492" s="77"/>
      <c r="S492" s="77"/>
      <c r="U492" s="78"/>
      <c r="V492" s="78"/>
      <c r="AD492" s="77"/>
    </row>
    <row r="493" spans="5:40">
      <c r="E493" s="75"/>
      <c r="F493" s="75"/>
      <c r="G493" s="77"/>
      <c r="H493" s="76"/>
      <c r="I493" s="76"/>
      <c r="J493" s="77"/>
      <c r="K493" s="77"/>
      <c r="N493" s="77"/>
      <c r="O493" s="77"/>
      <c r="P493" s="77"/>
      <c r="Q493" s="77"/>
      <c r="R493" s="77"/>
      <c r="S493" s="77"/>
      <c r="T493" s="77"/>
      <c r="U493" s="77"/>
      <c r="V493" s="77"/>
      <c r="AD493" s="77"/>
      <c r="AE493" s="77"/>
      <c r="AF493" s="77"/>
      <c r="AG493" s="77"/>
      <c r="AH493" s="77"/>
      <c r="AJ493" s="77"/>
      <c r="AK493" s="77"/>
      <c r="AL493" s="77"/>
      <c r="AM493" s="77"/>
      <c r="AN493" s="77"/>
    </row>
    <row r="494" spans="5:40">
      <c r="E494" s="75"/>
      <c r="F494" s="75"/>
      <c r="H494" s="76"/>
      <c r="I494" s="76"/>
      <c r="R494" s="77"/>
      <c r="S494" s="77"/>
      <c r="U494" s="78"/>
      <c r="V494" s="78"/>
      <c r="AD494" s="77"/>
    </row>
    <row r="495" spans="5:40">
      <c r="E495" s="75"/>
      <c r="F495" s="75"/>
      <c r="H495" s="76"/>
      <c r="I495" s="76"/>
      <c r="R495" s="77"/>
      <c r="S495" s="77"/>
      <c r="U495" s="78"/>
      <c r="V495" s="78"/>
      <c r="AD495" s="77"/>
    </row>
    <row r="496" spans="5:40">
      <c r="E496" s="75"/>
      <c r="F496" s="75"/>
      <c r="H496" s="76"/>
      <c r="I496" s="76"/>
      <c r="R496" s="77"/>
      <c r="S496" s="77"/>
      <c r="U496" s="78"/>
      <c r="V496" s="78"/>
      <c r="AD496" s="77"/>
    </row>
    <row r="497" spans="5:30">
      <c r="E497" s="75"/>
      <c r="F497" s="75"/>
      <c r="H497" s="76"/>
      <c r="I497" s="76"/>
      <c r="R497" s="77"/>
      <c r="S497" s="77"/>
      <c r="U497" s="78"/>
      <c r="V497" s="78"/>
      <c r="AD497" s="77"/>
    </row>
    <row r="498" spans="5:30">
      <c r="E498" s="75"/>
      <c r="F498" s="75"/>
      <c r="H498" s="76"/>
      <c r="I498" s="76"/>
      <c r="R498" s="77"/>
      <c r="S498" s="77"/>
      <c r="U498" s="78"/>
      <c r="V498" s="78"/>
      <c r="AD498" s="77"/>
    </row>
    <row r="499" spans="5:30">
      <c r="E499" s="75"/>
      <c r="F499" s="75"/>
      <c r="H499" s="76"/>
      <c r="I499" s="76"/>
      <c r="R499" s="77"/>
      <c r="S499" s="77"/>
      <c r="U499" s="78"/>
      <c r="V499" s="78"/>
      <c r="AD499" s="77"/>
    </row>
    <row r="500" spans="5:30">
      <c r="E500" s="75"/>
      <c r="F500" s="75"/>
      <c r="H500" s="76"/>
      <c r="I500" s="76"/>
      <c r="R500" s="77"/>
      <c r="S500" s="77"/>
      <c r="U500" s="78"/>
      <c r="V500" s="78"/>
      <c r="AD500" s="77"/>
    </row>
    <row r="501" spans="5:30">
      <c r="E501" s="75"/>
      <c r="F501" s="75"/>
      <c r="H501" s="76"/>
      <c r="I501" s="76"/>
      <c r="R501" s="77"/>
      <c r="S501" s="77"/>
      <c r="U501" s="78"/>
      <c r="V501" s="78"/>
      <c r="AD501" s="77"/>
    </row>
    <row r="502" spans="5:30">
      <c r="E502" s="75"/>
      <c r="F502" s="75"/>
      <c r="H502" s="76"/>
      <c r="I502" s="76"/>
      <c r="R502" s="77"/>
      <c r="S502" s="77"/>
      <c r="U502" s="78"/>
      <c r="V502" s="78"/>
      <c r="AD502" s="77"/>
    </row>
    <row r="503" spans="5:30">
      <c r="E503" s="75"/>
      <c r="F503" s="75"/>
      <c r="H503" s="76"/>
      <c r="I503" s="76"/>
      <c r="R503" s="77"/>
      <c r="S503" s="77"/>
      <c r="U503" s="78"/>
      <c r="V503" s="78"/>
      <c r="AD503" s="77"/>
    </row>
    <row r="504" spans="5:30">
      <c r="E504" s="75"/>
      <c r="F504" s="75"/>
      <c r="H504" s="76"/>
      <c r="I504" s="76"/>
      <c r="R504" s="77"/>
      <c r="S504" s="77"/>
      <c r="U504" s="78"/>
      <c r="V504" s="78"/>
      <c r="AD504" s="77"/>
    </row>
    <row r="505" spans="5:30">
      <c r="E505" s="75"/>
      <c r="F505" s="75"/>
      <c r="H505" s="76"/>
      <c r="I505" s="76"/>
      <c r="R505" s="77"/>
      <c r="S505" s="77"/>
      <c r="U505" s="78"/>
      <c r="V505" s="78"/>
      <c r="AD505" s="77"/>
    </row>
    <row r="506" spans="5:30">
      <c r="E506" s="75"/>
      <c r="F506" s="75"/>
      <c r="H506" s="76"/>
      <c r="I506" s="76"/>
      <c r="R506" s="77"/>
      <c r="S506" s="77"/>
      <c r="U506" s="78"/>
      <c r="V506" s="78"/>
      <c r="AD506" s="77"/>
    </row>
    <row r="507" spans="5:30">
      <c r="E507" s="75"/>
      <c r="F507" s="75"/>
      <c r="H507" s="76"/>
      <c r="I507" s="76"/>
      <c r="R507" s="77"/>
      <c r="S507" s="77"/>
      <c r="U507" s="78"/>
      <c r="V507" s="78"/>
      <c r="AD507" s="77"/>
    </row>
    <row r="508" spans="5:30">
      <c r="E508" s="75"/>
      <c r="F508" s="75"/>
      <c r="H508" s="76"/>
      <c r="I508" s="76"/>
      <c r="R508" s="77"/>
      <c r="S508" s="77"/>
      <c r="U508" s="78"/>
      <c r="V508" s="78"/>
      <c r="AD508" s="77"/>
    </row>
    <row r="509" spans="5:30">
      <c r="E509" s="75"/>
      <c r="F509" s="75"/>
      <c r="H509" s="76"/>
      <c r="I509" s="76"/>
      <c r="R509" s="77"/>
      <c r="S509" s="77"/>
      <c r="U509" s="78"/>
      <c r="V509" s="78"/>
      <c r="AD509" s="77"/>
    </row>
    <row r="510" spans="5:30">
      <c r="E510" s="75"/>
      <c r="F510" s="75"/>
      <c r="H510" s="76"/>
      <c r="I510" s="76"/>
      <c r="R510" s="77"/>
      <c r="S510" s="77"/>
      <c r="U510" s="78"/>
      <c r="V510" s="78"/>
      <c r="AD510" s="77"/>
    </row>
    <row r="511" spans="5:30">
      <c r="E511" s="75"/>
      <c r="F511" s="75"/>
      <c r="H511" s="76"/>
      <c r="I511" s="76"/>
      <c r="R511" s="77"/>
      <c r="S511" s="77"/>
      <c r="U511" s="78"/>
      <c r="V511" s="78"/>
      <c r="AD511" s="77"/>
    </row>
    <row r="512" spans="5:30">
      <c r="E512" s="75"/>
      <c r="F512" s="75"/>
      <c r="H512" s="76"/>
      <c r="I512" s="76"/>
      <c r="R512" s="77"/>
      <c r="S512" s="77"/>
      <c r="U512" s="78"/>
      <c r="V512" s="78"/>
      <c r="AD512" s="77"/>
    </row>
    <row r="513" spans="5:40">
      <c r="E513" s="75"/>
      <c r="F513" s="75"/>
      <c r="H513" s="76"/>
      <c r="I513" s="76"/>
      <c r="R513" s="77"/>
      <c r="S513" s="77"/>
      <c r="U513" s="78"/>
      <c r="V513" s="78"/>
      <c r="AD513" s="77"/>
    </row>
    <row r="514" spans="5:40">
      <c r="E514" s="75"/>
      <c r="F514" s="75"/>
      <c r="H514" s="76"/>
      <c r="I514" s="76"/>
      <c r="R514" s="77"/>
      <c r="S514" s="77"/>
      <c r="U514" s="78"/>
      <c r="V514" s="78"/>
      <c r="AD514" s="77"/>
    </row>
    <row r="515" spans="5:40">
      <c r="E515" s="75"/>
      <c r="F515" s="75"/>
      <c r="H515" s="76"/>
      <c r="I515" s="76"/>
      <c r="R515" s="77"/>
      <c r="S515" s="77"/>
      <c r="U515" s="78"/>
      <c r="V515" s="78"/>
      <c r="AD515" s="77"/>
    </row>
    <row r="516" spans="5:40">
      <c r="E516" s="75"/>
      <c r="F516" s="75"/>
      <c r="H516" s="76"/>
      <c r="I516" s="76"/>
      <c r="R516" s="77"/>
      <c r="S516" s="77"/>
      <c r="U516" s="78"/>
      <c r="V516" s="78"/>
      <c r="AD516" s="77"/>
    </row>
    <row r="517" spans="5:40">
      <c r="E517" s="75"/>
      <c r="F517" s="75"/>
      <c r="H517" s="76"/>
      <c r="I517" s="76"/>
      <c r="R517" s="77"/>
      <c r="S517" s="77"/>
      <c r="U517" s="78"/>
      <c r="V517" s="78"/>
      <c r="AD517" s="77"/>
    </row>
    <row r="518" spans="5:40">
      <c r="E518" s="75"/>
      <c r="F518" s="75"/>
      <c r="H518" s="76"/>
      <c r="I518" s="76"/>
      <c r="R518" s="77"/>
      <c r="S518" s="77"/>
      <c r="U518" s="78"/>
      <c r="V518" s="78"/>
      <c r="AD518" s="77"/>
    </row>
    <row r="519" spans="5:40">
      <c r="E519" s="75"/>
      <c r="F519" s="75"/>
      <c r="H519" s="76"/>
      <c r="I519" s="76"/>
      <c r="R519" s="77"/>
      <c r="S519" s="77"/>
      <c r="U519" s="78"/>
      <c r="V519" s="78"/>
      <c r="AD519" s="77"/>
    </row>
    <row r="520" spans="5:40">
      <c r="E520" s="75"/>
      <c r="F520" s="75"/>
      <c r="H520" s="76"/>
      <c r="I520" s="76"/>
      <c r="R520" s="77"/>
      <c r="S520" s="77"/>
      <c r="U520" s="78"/>
      <c r="V520" s="78"/>
      <c r="AD520" s="77"/>
    </row>
    <row r="521" spans="5:40">
      <c r="E521" s="75"/>
      <c r="F521" s="75"/>
      <c r="H521" s="76"/>
      <c r="I521" s="76"/>
      <c r="R521" s="77"/>
      <c r="S521" s="77"/>
      <c r="U521" s="78"/>
      <c r="V521" s="78"/>
      <c r="AD521" s="77"/>
    </row>
    <row r="522" spans="5:40">
      <c r="E522" s="75"/>
      <c r="F522" s="75"/>
      <c r="H522" s="76"/>
      <c r="I522" s="76"/>
      <c r="R522" s="77"/>
      <c r="S522" s="77"/>
      <c r="U522" s="78"/>
      <c r="V522" s="78"/>
      <c r="AD522" s="77"/>
    </row>
    <row r="523" spans="5:40">
      <c r="E523" s="75"/>
      <c r="F523" s="75"/>
      <c r="G523" s="77"/>
      <c r="H523" s="76"/>
      <c r="I523" s="76"/>
      <c r="J523" s="77"/>
      <c r="K523" s="77"/>
      <c r="N523" s="77"/>
      <c r="O523" s="77"/>
      <c r="P523" s="77"/>
      <c r="Q523" s="77"/>
      <c r="R523" s="77"/>
      <c r="S523" s="77"/>
      <c r="T523" s="77"/>
      <c r="U523" s="77"/>
      <c r="V523" s="77"/>
      <c r="AD523" s="77"/>
      <c r="AE523" s="77"/>
      <c r="AF523" s="77"/>
      <c r="AG523" s="77"/>
      <c r="AH523" s="77"/>
      <c r="AJ523" s="77"/>
      <c r="AK523" s="77"/>
      <c r="AL523" s="77"/>
      <c r="AM523" s="77"/>
      <c r="AN523" s="77"/>
    </row>
    <row r="524" spans="5:40">
      <c r="E524" s="75"/>
      <c r="F524" s="75"/>
      <c r="H524" s="76"/>
      <c r="I524" s="76"/>
      <c r="R524" s="77"/>
      <c r="S524" s="77"/>
      <c r="U524" s="78"/>
      <c r="V524" s="78"/>
      <c r="AD524" s="77"/>
    </row>
    <row r="525" spans="5:40">
      <c r="E525" s="75"/>
      <c r="F525" s="75"/>
      <c r="H525" s="76"/>
      <c r="I525" s="76"/>
      <c r="R525" s="77"/>
      <c r="S525" s="77"/>
      <c r="U525" s="78"/>
      <c r="V525" s="78"/>
      <c r="AD525" s="77"/>
    </row>
    <row r="526" spans="5:40">
      <c r="E526" s="75"/>
      <c r="F526" s="75"/>
      <c r="H526" s="76"/>
      <c r="I526" s="76"/>
      <c r="R526" s="77"/>
      <c r="S526" s="77"/>
      <c r="U526" s="78"/>
      <c r="V526" s="78"/>
      <c r="AD526" s="77"/>
    </row>
    <row r="527" spans="5:40">
      <c r="E527" s="75"/>
      <c r="F527" s="75"/>
      <c r="H527" s="76"/>
      <c r="I527" s="76"/>
      <c r="R527" s="77"/>
      <c r="S527" s="77"/>
      <c r="U527" s="78"/>
      <c r="V527" s="78"/>
      <c r="AD527" s="77"/>
    </row>
    <row r="528" spans="5:40">
      <c r="E528" s="75"/>
      <c r="F528" s="75"/>
      <c r="H528" s="76"/>
      <c r="I528" s="76"/>
      <c r="R528" s="77"/>
      <c r="S528" s="77"/>
      <c r="U528" s="78"/>
      <c r="V528" s="78"/>
      <c r="AD528" s="77"/>
    </row>
    <row r="529" spans="5:30">
      <c r="E529" s="75"/>
      <c r="F529" s="75"/>
      <c r="H529" s="76"/>
      <c r="I529" s="76"/>
      <c r="R529" s="77"/>
      <c r="S529" s="77"/>
      <c r="U529" s="78"/>
      <c r="V529" s="78"/>
      <c r="AD529" s="77"/>
    </row>
    <row r="530" spans="5:30">
      <c r="E530" s="75"/>
      <c r="F530" s="75"/>
      <c r="H530" s="76"/>
      <c r="I530" s="76"/>
      <c r="R530" s="77"/>
      <c r="S530" s="77"/>
      <c r="U530" s="78"/>
      <c r="V530" s="78"/>
      <c r="AD530" s="77"/>
    </row>
    <row r="531" spans="5:30">
      <c r="E531" s="75"/>
      <c r="F531" s="75"/>
      <c r="H531" s="76"/>
      <c r="I531" s="76"/>
      <c r="R531" s="77"/>
      <c r="S531" s="77"/>
      <c r="U531" s="78"/>
      <c r="V531" s="78"/>
      <c r="AD531" s="77"/>
    </row>
    <row r="532" spans="5:30">
      <c r="E532" s="75"/>
      <c r="F532" s="75"/>
      <c r="H532" s="76"/>
      <c r="I532" s="76"/>
      <c r="R532" s="77"/>
      <c r="S532" s="77"/>
      <c r="U532" s="78"/>
      <c r="V532" s="78"/>
      <c r="AD532" s="77"/>
    </row>
    <row r="533" spans="5:30">
      <c r="E533" s="75"/>
      <c r="F533" s="75"/>
      <c r="H533" s="76"/>
      <c r="I533" s="76"/>
      <c r="R533" s="77"/>
      <c r="S533" s="77"/>
      <c r="U533" s="78"/>
      <c r="V533" s="78"/>
      <c r="AD533" s="77"/>
    </row>
    <row r="534" spans="5:30">
      <c r="E534" s="75"/>
      <c r="F534" s="75"/>
      <c r="H534" s="76"/>
      <c r="I534" s="76"/>
      <c r="R534" s="77"/>
      <c r="S534" s="77"/>
      <c r="U534" s="78"/>
      <c r="V534" s="78"/>
      <c r="AD534" s="77"/>
    </row>
    <row r="535" spans="5:30">
      <c r="E535" s="75"/>
      <c r="F535" s="75"/>
      <c r="H535" s="76"/>
      <c r="I535" s="76"/>
      <c r="R535" s="77"/>
      <c r="S535" s="77"/>
      <c r="U535" s="78"/>
      <c r="V535" s="78"/>
      <c r="AD535" s="77"/>
    </row>
    <row r="536" spans="5:30">
      <c r="E536" s="75"/>
      <c r="F536" s="75"/>
      <c r="H536" s="76"/>
      <c r="I536" s="76"/>
      <c r="R536" s="77"/>
      <c r="S536" s="77"/>
      <c r="U536" s="78"/>
      <c r="V536" s="78"/>
      <c r="AD536" s="77"/>
    </row>
    <row r="537" spans="5:30">
      <c r="E537" s="75"/>
      <c r="F537" s="75"/>
      <c r="H537" s="76"/>
      <c r="I537" s="76"/>
      <c r="R537" s="77"/>
      <c r="S537" s="77"/>
      <c r="U537" s="78"/>
      <c r="V537" s="78"/>
      <c r="AD537" s="77"/>
    </row>
    <row r="538" spans="5:30">
      <c r="E538" s="75"/>
      <c r="F538" s="75"/>
      <c r="H538" s="76"/>
      <c r="I538" s="76"/>
      <c r="R538" s="77"/>
      <c r="S538" s="77"/>
      <c r="U538" s="78"/>
      <c r="V538" s="78"/>
      <c r="AD538" s="77"/>
    </row>
    <row r="539" spans="5:30">
      <c r="E539" s="75"/>
      <c r="F539" s="75"/>
      <c r="H539" s="76"/>
      <c r="I539" s="76"/>
      <c r="R539" s="77"/>
      <c r="S539" s="77"/>
      <c r="U539" s="78"/>
      <c r="V539" s="78"/>
      <c r="AD539" s="77"/>
    </row>
    <row r="540" spans="5:30">
      <c r="E540" s="75"/>
      <c r="F540" s="75"/>
      <c r="H540" s="76"/>
      <c r="I540" s="76"/>
      <c r="R540" s="77"/>
      <c r="S540" s="77"/>
      <c r="U540" s="78"/>
      <c r="V540" s="78"/>
      <c r="AD540" s="77"/>
    </row>
    <row r="541" spans="5:30">
      <c r="E541" s="75"/>
      <c r="F541" s="75"/>
      <c r="H541" s="76"/>
      <c r="I541" s="76"/>
      <c r="R541" s="77"/>
      <c r="S541" s="77"/>
      <c r="U541" s="78"/>
      <c r="V541" s="78"/>
      <c r="AD541" s="77"/>
    </row>
    <row r="542" spans="5:30">
      <c r="E542" s="75"/>
      <c r="F542" s="75"/>
      <c r="H542" s="76"/>
      <c r="I542" s="76"/>
      <c r="R542" s="77"/>
      <c r="S542" s="77"/>
      <c r="U542" s="78"/>
      <c r="V542" s="78"/>
      <c r="AD542" s="77"/>
    </row>
    <row r="543" spans="5:30">
      <c r="E543" s="75"/>
      <c r="F543" s="75"/>
      <c r="H543" s="76"/>
      <c r="I543" s="76"/>
      <c r="R543" s="77"/>
      <c r="S543" s="77"/>
      <c r="U543" s="78"/>
      <c r="V543" s="78"/>
      <c r="AD543" s="77"/>
    </row>
    <row r="544" spans="5:30">
      <c r="E544" s="75"/>
      <c r="F544" s="75"/>
      <c r="H544" s="76"/>
      <c r="I544" s="76"/>
      <c r="R544" s="77"/>
      <c r="S544" s="77"/>
      <c r="U544" s="78"/>
      <c r="V544" s="78"/>
      <c r="AD544" s="77"/>
    </row>
    <row r="545" spans="5:30">
      <c r="E545" s="75"/>
      <c r="F545" s="75"/>
      <c r="H545" s="76"/>
      <c r="I545" s="76"/>
      <c r="R545" s="77"/>
      <c r="S545" s="77"/>
      <c r="U545" s="78"/>
      <c r="V545" s="78"/>
      <c r="AD545" s="77"/>
    </row>
    <row r="546" spans="5:30">
      <c r="E546" s="75"/>
      <c r="F546" s="75"/>
      <c r="H546" s="76"/>
      <c r="I546" s="76"/>
      <c r="R546" s="77"/>
      <c r="S546" s="77"/>
      <c r="U546" s="78"/>
      <c r="V546" s="78"/>
      <c r="AD546" s="77"/>
    </row>
    <row r="547" spans="5:30">
      <c r="E547" s="75"/>
      <c r="F547" s="75"/>
      <c r="H547" s="76"/>
      <c r="I547" s="76"/>
      <c r="R547" s="77"/>
      <c r="S547" s="77"/>
      <c r="U547" s="78"/>
      <c r="V547" s="78"/>
      <c r="AD547" s="77"/>
    </row>
    <row r="548" spans="5:30">
      <c r="E548" s="75"/>
      <c r="F548" s="75"/>
      <c r="H548" s="76"/>
      <c r="I548" s="76"/>
      <c r="R548" s="77"/>
      <c r="S548" s="77"/>
      <c r="U548" s="78"/>
      <c r="V548" s="78"/>
      <c r="AD548" s="77"/>
    </row>
    <row r="549" spans="5:30">
      <c r="E549" s="75"/>
      <c r="F549" s="75"/>
      <c r="H549" s="76"/>
      <c r="I549" s="76"/>
      <c r="R549" s="77"/>
      <c r="S549" s="77"/>
      <c r="U549" s="78"/>
      <c r="V549" s="78"/>
      <c r="AD549" s="77"/>
    </row>
    <row r="550" spans="5:30">
      <c r="E550" s="75"/>
      <c r="F550" s="75"/>
      <c r="H550" s="76"/>
      <c r="I550" s="76"/>
      <c r="R550" s="77"/>
      <c r="S550" s="77"/>
      <c r="U550" s="78"/>
      <c r="V550" s="78"/>
      <c r="AD550" s="77"/>
    </row>
    <row r="551" spans="5:30">
      <c r="E551" s="75"/>
      <c r="F551" s="75"/>
      <c r="H551" s="76"/>
      <c r="I551" s="76"/>
      <c r="R551" s="77"/>
      <c r="S551" s="77"/>
      <c r="U551" s="78"/>
      <c r="V551" s="78"/>
      <c r="AD551" s="77"/>
    </row>
    <row r="552" spans="5:30">
      <c r="E552" s="75"/>
      <c r="F552" s="75"/>
      <c r="H552" s="76"/>
      <c r="I552" s="76"/>
      <c r="R552" s="77"/>
      <c r="S552" s="77"/>
      <c r="U552" s="78"/>
      <c r="V552" s="78"/>
      <c r="AD552" s="77"/>
    </row>
    <row r="553" spans="5:30">
      <c r="E553" s="75"/>
      <c r="F553" s="75"/>
      <c r="H553" s="76"/>
      <c r="I553" s="76"/>
      <c r="R553" s="77"/>
      <c r="S553" s="77"/>
      <c r="U553" s="78"/>
      <c r="V553" s="78"/>
      <c r="AD553" s="77"/>
    </row>
    <row r="554" spans="5:30">
      <c r="E554" s="75"/>
      <c r="F554" s="75"/>
      <c r="H554" s="76"/>
      <c r="I554" s="76"/>
      <c r="R554" s="77"/>
      <c r="S554" s="77"/>
      <c r="U554" s="78"/>
      <c r="V554" s="78"/>
      <c r="AD554" s="77"/>
    </row>
    <row r="555" spans="5:30">
      <c r="E555" s="75"/>
      <c r="F555" s="75"/>
      <c r="H555" s="76"/>
      <c r="I555" s="76"/>
      <c r="R555" s="77"/>
      <c r="S555" s="77"/>
      <c r="U555" s="78"/>
      <c r="V555" s="78"/>
      <c r="AD555" s="77"/>
    </row>
    <row r="556" spans="5:30">
      <c r="E556" s="75"/>
      <c r="F556" s="75"/>
      <c r="H556" s="76"/>
      <c r="I556" s="76"/>
      <c r="R556" s="77"/>
      <c r="S556" s="77"/>
      <c r="U556" s="78"/>
      <c r="V556" s="78"/>
      <c r="AD556" s="77"/>
    </row>
    <row r="557" spans="5:30">
      <c r="E557" s="75"/>
      <c r="F557" s="75"/>
      <c r="H557" s="76"/>
      <c r="I557" s="76"/>
      <c r="R557" s="77"/>
      <c r="S557" s="77"/>
      <c r="U557" s="78"/>
      <c r="V557" s="78"/>
      <c r="AD557" s="77"/>
    </row>
    <row r="558" spans="5:30">
      <c r="E558" s="75"/>
      <c r="F558" s="75"/>
      <c r="H558" s="76"/>
      <c r="I558" s="76"/>
      <c r="R558" s="77"/>
      <c r="S558" s="77"/>
      <c r="U558" s="78"/>
      <c r="V558" s="78"/>
      <c r="AD558" s="77"/>
    </row>
    <row r="559" spans="5:30">
      <c r="E559" s="75"/>
      <c r="F559" s="75"/>
      <c r="H559" s="76"/>
      <c r="I559" s="76"/>
      <c r="R559" s="77"/>
      <c r="S559" s="77"/>
      <c r="U559" s="78"/>
      <c r="V559" s="78"/>
      <c r="AD559" s="77"/>
    </row>
    <row r="560" spans="5:30">
      <c r="E560" s="75"/>
      <c r="F560" s="75"/>
      <c r="H560" s="76"/>
      <c r="I560" s="76"/>
      <c r="R560" s="77"/>
      <c r="S560" s="77"/>
      <c r="U560" s="78"/>
      <c r="V560" s="78"/>
      <c r="AD560" s="77"/>
    </row>
    <row r="561" spans="5:30">
      <c r="E561" s="75"/>
      <c r="F561" s="75"/>
      <c r="H561" s="76"/>
      <c r="I561" s="76"/>
      <c r="R561" s="77"/>
      <c r="S561" s="77"/>
      <c r="U561" s="78"/>
      <c r="V561" s="78"/>
      <c r="AD561" s="77"/>
    </row>
    <row r="562" spans="5:30">
      <c r="E562" s="75"/>
      <c r="F562" s="75"/>
      <c r="H562" s="76"/>
      <c r="I562" s="76"/>
      <c r="R562" s="77"/>
      <c r="S562" s="77"/>
      <c r="U562" s="78"/>
      <c r="V562" s="78"/>
      <c r="AD562" s="77"/>
    </row>
    <row r="563" spans="5:30">
      <c r="E563" s="75"/>
      <c r="F563" s="75"/>
      <c r="H563" s="76"/>
      <c r="I563" s="76"/>
      <c r="R563" s="77"/>
      <c r="S563" s="77"/>
      <c r="U563" s="78"/>
      <c r="V563" s="78"/>
      <c r="AD563" s="77"/>
    </row>
    <row r="564" spans="5:30">
      <c r="E564" s="75"/>
      <c r="F564" s="75"/>
      <c r="H564" s="76"/>
      <c r="I564" s="76"/>
      <c r="R564" s="77"/>
      <c r="S564" s="77"/>
      <c r="U564" s="78"/>
      <c r="V564" s="78"/>
      <c r="AD564" s="77"/>
    </row>
    <row r="565" spans="5:30">
      <c r="E565" s="75"/>
      <c r="F565" s="75"/>
      <c r="H565" s="76"/>
      <c r="I565" s="76"/>
      <c r="R565" s="77"/>
      <c r="S565" s="77"/>
      <c r="U565" s="78"/>
      <c r="V565" s="78"/>
      <c r="AD565" s="77"/>
    </row>
    <row r="566" spans="5:30">
      <c r="E566" s="75"/>
      <c r="F566" s="75"/>
      <c r="H566" s="76"/>
      <c r="I566" s="76"/>
      <c r="R566" s="77"/>
      <c r="S566" s="77"/>
      <c r="U566" s="78"/>
      <c r="V566" s="78"/>
      <c r="AD566" s="77"/>
    </row>
    <row r="567" spans="5:30">
      <c r="E567" s="75"/>
      <c r="F567" s="75"/>
      <c r="H567" s="76"/>
      <c r="I567" s="76"/>
      <c r="R567" s="77"/>
      <c r="S567" s="77"/>
      <c r="U567" s="78"/>
      <c r="V567" s="78"/>
      <c r="AD567" s="77"/>
    </row>
    <row r="568" spans="5:30">
      <c r="E568" s="75"/>
      <c r="F568" s="75"/>
      <c r="H568" s="76"/>
      <c r="I568" s="76"/>
      <c r="R568" s="77"/>
      <c r="S568" s="77"/>
      <c r="U568" s="78"/>
      <c r="V568" s="78"/>
      <c r="AD568" s="77"/>
    </row>
    <row r="569" spans="5:30">
      <c r="E569" s="75"/>
      <c r="F569" s="75"/>
      <c r="H569" s="76"/>
      <c r="I569" s="76"/>
      <c r="R569" s="77"/>
      <c r="S569" s="77"/>
      <c r="U569" s="78"/>
      <c r="V569" s="78"/>
      <c r="AD569" s="77"/>
    </row>
    <row r="570" spans="5:30">
      <c r="E570" s="75"/>
      <c r="F570" s="75"/>
      <c r="H570" s="76"/>
      <c r="I570" s="76"/>
      <c r="R570" s="77"/>
      <c r="S570" s="77"/>
      <c r="U570" s="78"/>
      <c r="V570" s="78"/>
      <c r="AD570" s="77"/>
    </row>
    <row r="571" spans="5:30">
      <c r="E571" s="75"/>
      <c r="F571" s="75"/>
      <c r="H571" s="76"/>
      <c r="I571" s="76"/>
      <c r="R571" s="77"/>
      <c r="S571" s="77"/>
      <c r="U571" s="78"/>
      <c r="V571" s="78"/>
      <c r="AD571" s="77"/>
    </row>
    <row r="572" spans="5:30">
      <c r="E572" s="75"/>
      <c r="F572" s="75"/>
      <c r="H572" s="76"/>
      <c r="I572" s="76"/>
      <c r="R572" s="77"/>
      <c r="S572" s="77"/>
      <c r="U572" s="78"/>
      <c r="V572" s="78"/>
      <c r="AD572" s="77"/>
    </row>
    <row r="573" spans="5:30">
      <c r="E573" s="75"/>
      <c r="F573" s="75"/>
      <c r="H573" s="76"/>
      <c r="I573" s="76"/>
      <c r="R573" s="77"/>
      <c r="S573" s="77"/>
      <c r="U573" s="78"/>
      <c r="V573" s="78"/>
      <c r="AD573" s="77"/>
    </row>
    <row r="574" spans="5:30">
      <c r="E574" s="75"/>
      <c r="F574" s="75"/>
      <c r="H574" s="76"/>
      <c r="I574" s="76"/>
      <c r="R574" s="77"/>
      <c r="S574" s="77"/>
      <c r="U574" s="78"/>
      <c r="V574" s="78"/>
      <c r="AD574" s="77"/>
    </row>
    <row r="575" spans="5:30">
      <c r="E575" s="75"/>
      <c r="F575" s="75"/>
      <c r="H575" s="76"/>
      <c r="I575" s="76"/>
      <c r="R575" s="77"/>
      <c r="S575" s="77"/>
      <c r="U575" s="78"/>
      <c r="V575" s="78"/>
      <c r="AD575" s="77"/>
    </row>
    <row r="576" spans="5:30">
      <c r="E576" s="75"/>
      <c r="F576" s="75"/>
      <c r="H576" s="76"/>
      <c r="I576" s="76"/>
      <c r="R576" s="77"/>
      <c r="S576" s="77"/>
      <c r="U576" s="78"/>
      <c r="V576" s="78"/>
      <c r="AD576" s="77"/>
    </row>
    <row r="577" spans="5:30">
      <c r="E577" s="75"/>
      <c r="F577" s="75"/>
      <c r="H577" s="76"/>
      <c r="I577" s="76"/>
      <c r="R577" s="77"/>
      <c r="S577" s="77"/>
      <c r="U577" s="78"/>
      <c r="V577" s="78"/>
      <c r="AD577" s="77"/>
    </row>
    <row r="578" spans="5:30">
      <c r="E578" s="75"/>
      <c r="F578" s="75"/>
      <c r="H578" s="76"/>
      <c r="I578" s="76"/>
      <c r="R578" s="77"/>
      <c r="S578" s="77"/>
      <c r="U578" s="78"/>
      <c r="V578" s="78"/>
      <c r="AD578" s="77"/>
    </row>
    <row r="579" spans="5:30">
      <c r="E579" s="75"/>
      <c r="F579" s="75"/>
      <c r="H579" s="76"/>
      <c r="I579" s="76"/>
      <c r="R579" s="77"/>
      <c r="S579" s="77"/>
      <c r="U579" s="78"/>
      <c r="V579" s="78"/>
      <c r="AD579" s="77"/>
    </row>
    <row r="580" spans="5:30">
      <c r="E580" s="75"/>
      <c r="F580" s="75"/>
      <c r="H580" s="76"/>
      <c r="I580" s="76"/>
      <c r="R580" s="77"/>
      <c r="S580" s="77"/>
      <c r="U580" s="78"/>
      <c r="V580" s="78"/>
      <c r="AD580" s="77"/>
    </row>
    <row r="581" spans="5:30">
      <c r="E581" s="75"/>
      <c r="F581" s="75"/>
      <c r="H581" s="76"/>
      <c r="I581" s="76"/>
      <c r="R581" s="77"/>
      <c r="S581" s="77"/>
      <c r="U581" s="78"/>
      <c r="V581" s="78"/>
      <c r="AD581" s="77"/>
    </row>
    <row r="582" spans="5:30">
      <c r="E582" s="75"/>
      <c r="F582" s="75"/>
      <c r="H582" s="76"/>
      <c r="I582" s="76"/>
      <c r="R582" s="77"/>
      <c r="S582" s="77"/>
      <c r="U582" s="78"/>
      <c r="V582" s="78"/>
      <c r="AD582" s="77"/>
    </row>
    <row r="583" spans="5:30">
      <c r="E583" s="75"/>
      <c r="F583" s="75"/>
      <c r="H583" s="76"/>
      <c r="I583" s="76"/>
      <c r="R583" s="77"/>
      <c r="S583" s="77"/>
      <c r="U583" s="78"/>
      <c r="V583" s="78"/>
      <c r="AD583" s="77"/>
    </row>
    <row r="584" spans="5:30">
      <c r="E584" s="75"/>
      <c r="F584" s="75"/>
      <c r="H584" s="76"/>
      <c r="I584" s="76"/>
      <c r="R584" s="77"/>
      <c r="S584" s="77"/>
      <c r="U584" s="78"/>
      <c r="V584" s="78"/>
      <c r="AD584" s="77"/>
    </row>
    <row r="585" spans="5:30">
      <c r="E585" s="75"/>
      <c r="F585" s="75"/>
      <c r="H585" s="76"/>
      <c r="I585" s="76"/>
      <c r="R585" s="77"/>
      <c r="S585" s="77"/>
      <c r="U585" s="78"/>
      <c r="V585" s="78"/>
      <c r="AD585" s="77"/>
    </row>
    <row r="586" spans="5:30">
      <c r="E586" s="75"/>
      <c r="F586" s="75"/>
      <c r="H586" s="76"/>
      <c r="I586" s="76"/>
      <c r="R586" s="77"/>
      <c r="S586" s="77"/>
      <c r="U586" s="78"/>
      <c r="V586" s="78"/>
      <c r="AD586" s="77"/>
    </row>
    <row r="587" spans="5:30">
      <c r="E587" s="75"/>
      <c r="F587" s="75"/>
      <c r="H587" s="76"/>
      <c r="I587" s="76"/>
      <c r="R587" s="77"/>
      <c r="S587" s="77"/>
      <c r="U587" s="78"/>
      <c r="V587" s="78"/>
      <c r="AD587" s="77"/>
    </row>
    <row r="588" spans="5:30">
      <c r="E588" s="75"/>
      <c r="F588" s="75"/>
      <c r="H588" s="76"/>
      <c r="I588" s="76"/>
      <c r="R588" s="77"/>
      <c r="S588" s="77"/>
      <c r="U588" s="78"/>
      <c r="V588" s="78"/>
      <c r="AD588" s="77"/>
    </row>
    <row r="589" spans="5:30">
      <c r="E589" s="75"/>
      <c r="F589" s="75"/>
      <c r="H589" s="76"/>
      <c r="I589" s="76"/>
      <c r="R589" s="77"/>
      <c r="S589" s="77"/>
      <c r="U589" s="78"/>
      <c r="V589" s="78"/>
      <c r="AD589" s="77"/>
    </row>
    <row r="590" spans="5:30">
      <c r="E590" s="75"/>
      <c r="F590" s="75"/>
      <c r="H590" s="76"/>
      <c r="I590" s="76"/>
      <c r="R590" s="77"/>
      <c r="S590" s="77"/>
      <c r="U590" s="78"/>
      <c r="V590" s="78"/>
      <c r="AD590" s="77"/>
    </row>
    <row r="591" spans="5:30">
      <c r="E591" s="75"/>
      <c r="F591" s="75"/>
      <c r="H591" s="76"/>
      <c r="I591" s="76"/>
      <c r="R591" s="77"/>
      <c r="S591" s="77"/>
      <c r="U591" s="78"/>
      <c r="V591" s="78"/>
      <c r="AD591" s="77"/>
    </row>
    <row r="592" spans="5:30">
      <c r="E592" s="75"/>
      <c r="F592" s="75"/>
      <c r="H592" s="76"/>
      <c r="I592" s="76"/>
      <c r="R592" s="77"/>
      <c r="S592" s="77"/>
      <c r="U592" s="78"/>
      <c r="V592" s="78"/>
      <c r="AD592" s="77"/>
    </row>
    <row r="593" spans="5:30">
      <c r="E593" s="75"/>
      <c r="F593" s="75"/>
      <c r="H593" s="76"/>
      <c r="I593" s="76"/>
      <c r="R593" s="77"/>
      <c r="S593" s="77"/>
      <c r="U593" s="78"/>
      <c r="V593" s="78"/>
      <c r="AD593" s="77"/>
    </row>
    <row r="594" spans="5:30">
      <c r="E594" s="75"/>
      <c r="F594" s="75"/>
      <c r="H594" s="76"/>
      <c r="I594" s="76"/>
      <c r="R594" s="77"/>
      <c r="S594" s="77"/>
      <c r="U594" s="78"/>
      <c r="V594" s="78"/>
      <c r="AD594" s="77"/>
    </row>
    <row r="595" spans="5:30">
      <c r="E595" s="75"/>
      <c r="F595" s="75"/>
      <c r="H595" s="76"/>
      <c r="I595" s="76"/>
      <c r="R595" s="77"/>
      <c r="S595" s="77"/>
      <c r="U595" s="78"/>
      <c r="V595" s="78"/>
      <c r="AD595" s="77"/>
    </row>
    <row r="596" spans="5:30">
      <c r="E596" s="75"/>
      <c r="F596" s="75"/>
      <c r="H596" s="76"/>
      <c r="I596" s="76"/>
      <c r="R596" s="77"/>
      <c r="S596" s="77"/>
      <c r="U596" s="78"/>
      <c r="V596" s="78"/>
      <c r="AD596" s="77"/>
    </row>
    <row r="597" spans="5:30">
      <c r="E597" s="75"/>
      <c r="F597" s="75"/>
      <c r="H597" s="76"/>
      <c r="I597" s="76"/>
      <c r="R597" s="77"/>
      <c r="S597" s="77"/>
      <c r="U597" s="78"/>
      <c r="V597" s="78"/>
      <c r="AD597" s="77"/>
    </row>
    <row r="598" spans="5:30">
      <c r="E598" s="75"/>
      <c r="F598" s="75"/>
      <c r="H598" s="76"/>
      <c r="I598" s="76"/>
      <c r="R598" s="77"/>
      <c r="S598" s="77"/>
      <c r="U598" s="78"/>
      <c r="V598" s="78"/>
      <c r="AD598" s="77"/>
    </row>
    <row r="599" spans="5:30">
      <c r="E599" s="75"/>
      <c r="F599" s="75"/>
      <c r="H599" s="76"/>
      <c r="I599" s="76"/>
      <c r="R599" s="77"/>
      <c r="S599" s="77"/>
      <c r="U599" s="78"/>
      <c r="V599" s="78"/>
      <c r="AD599" s="77"/>
    </row>
    <row r="600" spans="5:30">
      <c r="E600" s="75"/>
      <c r="F600" s="75"/>
      <c r="H600" s="76"/>
      <c r="I600" s="76"/>
      <c r="R600" s="77"/>
      <c r="S600" s="77"/>
      <c r="U600" s="78"/>
      <c r="V600" s="78"/>
      <c r="AD600" s="77"/>
    </row>
    <row r="601" spans="5:30">
      <c r="E601" s="75"/>
      <c r="F601" s="75"/>
      <c r="H601" s="76"/>
      <c r="I601" s="76"/>
      <c r="R601" s="77"/>
      <c r="S601" s="77"/>
      <c r="U601" s="78"/>
      <c r="V601" s="78"/>
      <c r="AD601" s="77"/>
    </row>
    <row r="602" spans="5:30">
      <c r="E602" s="75"/>
      <c r="F602" s="75"/>
      <c r="H602" s="76"/>
      <c r="I602" s="76"/>
      <c r="R602" s="77"/>
      <c r="S602" s="77"/>
      <c r="U602" s="78"/>
      <c r="V602" s="78"/>
      <c r="AD602" s="77"/>
    </row>
    <row r="603" spans="5:30">
      <c r="E603" s="75"/>
      <c r="F603" s="75"/>
      <c r="H603" s="76"/>
      <c r="I603" s="76"/>
      <c r="R603" s="77"/>
      <c r="S603" s="77"/>
      <c r="U603" s="78"/>
      <c r="V603" s="78"/>
      <c r="AD603" s="77"/>
    </row>
    <row r="604" spans="5:30">
      <c r="E604" s="75"/>
      <c r="F604" s="75"/>
      <c r="H604" s="76"/>
      <c r="I604" s="76"/>
      <c r="R604" s="77"/>
      <c r="S604" s="77"/>
      <c r="U604" s="78"/>
      <c r="V604" s="78"/>
      <c r="AD604" s="77"/>
    </row>
    <row r="605" spans="5:30">
      <c r="E605" s="75"/>
      <c r="F605" s="75"/>
      <c r="H605" s="76"/>
      <c r="I605" s="76"/>
      <c r="R605" s="77"/>
      <c r="S605" s="77"/>
      <c r="U605" s="78"/>
      <c r="V605" s="78"/>
      <c r="AD605" s="77"/>
    </row>
    <row r="606" spans="5:30">
      <c r="E606" s="75"/>
      <c r="F606" s="75"/>
      <c r="H606" s="76"/>
      <c r="I606" s="76"/>
      <c r="R606" s="77"/>
      <c r="S606" s="77"/>
      <c r="U606" s="78"/>
      <c r="V606" s="78"/>
      <c r="AD606" s="77"/>
    </row>
    <row r="607" spans="5:30">
      <c r="E607" s="75"/>
      <c r="F607" s="75"/>
      <c r="H607" s="76"/>
      <c r="I607" s="76"/>
      <c r="R607" s="77"/>
      <c r="S607" s="77"/>
      <c r="U607" s="78"/>
      <c r="V607" s="78"/>
      <c r="AD607" s="77"/>
    </row>
    <row r="608" spans="5:30">
      <c r="E608" s="75"/>
      <c r="F608" s="75"/>
      <c r="H608" s="76"/>
      <c r="I608" s="76"/>
      <c r="R608" s="77"/>
      <c r="S608" s="77"/>
      <c r="U608" s="78"/>
      <c r="V608" s="78"/>
      <c r="AD608" s="77"/>
    </row>
    <row r="609" spans="5:30">
      <c r="E609" s="75"/>
      <c r="F609" s="75"/>
      <c r="H609" s="76"/>
      <c r="I609" s="76"/>
      <c r="R609" s="77"/>
      <c r="S609" s="77"/>
      <c r="U609" s="78"/>
      <c r="V609" s="78"/>
      <c r="AD609" s="77"/>
    </row>
    <row r="610" spans="5:30">
      <c r="E610" s="75"/>
      <c r="F610" s="75"/>
      <c r="H610" s="76"/>
      <c r="I610" s="76"/>
      <c r="R610" s="77"/>
      <c r="S610" s="77"/>
      <c r="U610" s="78"/>
      <c r="V610" s="78"/>
      <c r="AD610" s="77"/>
    </row>
    <row r="611" spans="5:30">
      <c r="E611" s="75"/>
      <c r="F611" s="75"/>
      <c r="H611" s="76"/>
      <c r="I611" s="76"/>
      <c r="R611" s="77"/>
      <c r="S611" s="77"/>
      <c r="U611" s="78"/>
      <c r="V611" s="78"/>
      <c r="AD611" s="77"/>
    </row>
    <row r="612" spans="5:30">
      <c r="E612" s="75"/>
      <c r="F612" s="75"/>
      <c r="H612" s="76"/>
      <c r="I612" s="76"/>
      <c r="R612" s="77"/>
      <c r="S612" s="77"/>
      <c r="U612" s="78"/>
      <c r="V612" s="78"/>
      <c r="AD612" s="77"/>
    </row>
    <row r="613" spans="5:30">
      <c r="E613" s="75"/>
      <c r="F613" s="75"/>
      <c r="H613" s="76"/>
      <c r="I613" s="76"/>
      <c r="R613" s="77"/>
      <c r="S613" s="77"/>
      <c r="U613" s="78"/>
      <c r="V613" s="78"/>
      <c r="AD613" s="77"/>
    </row>
    <row r="614" spans="5:30">
      <c r="E614" s="75"/>
      <c r="F614" s="75"/>
      <c r="H614" s="76"/>
      <c r="I614" s="76"/>
      <c r="R614" s="77"/>
      <c r="S614" s="77"/>
      <c r="U614" s="78"/>
      <c r="V614" s="78"/>
      <c r="AD614" s="77"/>
    </row>
    <row r="615" spans="5:30">
      <c r="E615" s="75"/>
      <c r="F615" s="75"/>
      <c r="H615" s="76"/>
      <c r="I615" s="76"/>
      <c r="R615" s="77"/>
      <c r="S615" s="77"/>
      <c r="U615" s="78"/>
      <c r="V615" s="78"/>
      <c r="AD615" s="77"/>
    </row>
    <row r="616" spans="5:30">
      <c r="E616" s="75"/>
      <c r="F616" s="75"/>
      <c r="H616" s="76"/>
      <c r="I616" s="76"/>
      <c r="R616" s="77"/>
      <c r="S616" s="77"/>
      <c r="U616" s="78"/>
      <c r="V616" s="78"/>
      <c r="AD616" s="77"/>
    </row>
    <row r="617" spans="5:30">
      <c r="E617" s="75"/>
      <c r="F617" s="75"/>
      <c r="H617" s="76"/>
      <c r="I617" s="76"/>
      <c r="R617" s="77"/>
      <c r="S617" s="77"/>
      <c r="U617" s="78"/>
      <c r="V617" s="78"/>
      <c r="AD617" s="77"/>
    </row>
    <row r="618" spans="5:30">
      <c r="E618" s="75"/>
      <c r="F618" s="75"/>
      <c r="H618" s="76"/>
      <c r="I618" s="76"/>
      <c r="R618" s="77"/>
      <c r="S618" s="77"/>
      <c r="U618" s="78"/>
      <c r="V618" s="78"/>
      <c r="AD618" s="77"/>
    </row>
    <row r="619" spans="5:30">
      <c r="E619" s="75"/>
      <c r="F619" s="75"/>
      <c r="H619" s="76"/>
      <c r="I619" s="76"/>
      <c r="R619" s="77"/>
      <c r="S619" s="77"/>
      <c r="U619" s="78"/>
      <c r="V619" s="78"/>
      <c r="AD619" s="77"/>
    </row>
    <row r="620" spans="5:30">
      <c r="E620" s="75"/>
      <c r="F620" s="75"/>
      <c r="H620" s="76"/>
      <c r="I620" s="76"/>
      <c r="R620" s="77"/>
      <c r="S620" s="77"/>
      <c r="U620" s="78"/>
      <c r="V620" s="78"/>
      <c r="AD620" s="77"/>
    </row>
    <row r="621" spans="5:30">
      <c r="E621" s="75"/>
      <c r="F621" s="75"/>
      <c r="H621" s="76"/>
      <c r="I621" s="76"/>
      <c r="R621" s="77"/>
      <c r="S621" s="77"/>
      <c r="U621" s="78"/>
      <c r="V621" s="78"/>
      <c r="AD621" s="77"/>
    </row>
    <row r="622" spans="5:30">
      <c r="E622" s="75"/>
      <c r="F622" s="75"/>
      <c r="H622" s="76"/>
      <c r="I622" s="76"/>
      <c r="R622" s="77"/>
      <c r="S622" s="77"/>
      <c r="U622" s="78"/>
      <c r="V622" s="78"/>
      <c r="AD622" s="77"/>
    </row>
    <row r="623" spans="5:30">
      <c r="E623" s="75"/>
      <c r="F623" s="75"/>
      <c r="H623" s="76"/>
      <c r="I623" s="76"/>
      <c r="R623" s="77"/>
      <c r="S623" s="77"/>
      <c r="U623" s="78"/>
      <c r="V623" s="78"/>
      <c r="AD623" s="77"/>
    </row>
    <row r="624" spans="5:30">
      <c r="E624" s="75"/>
      <c r="F624" s="75"/>
      <c r="H624" s="76"/>
      <c r="I624" s="76"/>
      <c r="R624" s="77"/>
      <c r="S624" s="77"/>
      <c r="U624" s="78"/>
      <c r="V624" s="78"/>
      <c r="AD624" s="77"/>
    </row>
    <row r="625" spans="5:30">
      <c r="E625" s="75"/>
      <c r="F625" s="75"/>
      <c r="H625" s="76"/>
      <c r="I625" s="76"/>
      <c r="R625" s="77"/>
      <c r="S625" s="77"/>
      <c r="U625" s="78"/>
      <c r="V625" s="78"/>
      <c r="AD625" s="77"/>
    </row>
    <row r="626" spans="5:30">
      <c r="E626" s="75"/>
      <c r="F626" s="75"/>
      <c r="H626" s="76"/>
      <c r="I626" s="76"/>
      <c r="R626" s="77"/>
      <c r="S626" s="77"/>
      <c r="U626" s="78"/>
      <c r="V626" s="78"/>
      <c r="AD626" s="77"/>
    </row>
    <row r="627" spans="5:30">
      <c r="E627" s="75"/>
      <c r="F627" s="75"/>
      <c r="H627" s="76"/>
      <c r="I627" s="76"/>
      <c r="R627" s="77"/>
      <c r="S627" s="77"/>
      <c r="U627" s="78"/>
      <c r="V627" s="78"/>
      <c r="AD627" s="77"/>
    </row>
    <row r="628" spans="5:30">
      <c r="E628" s="75"/>
      <c r="F628" s="75"/>
      <c r="H628" s="76"/>
      <c r="I628" s="76"/>
      <c r="R628" s="77"/>
      <c r="S628" s="77"/>
      <c r="U628" s="78"/>
      <c r="V628" s="78"/>
      <c r="AD628" s="77"/>
    </row>
    <row r="629" spans="5:30">
      <c r="E629" s="75"/>
      <c r="F629" s="75"/>
      <c r="H629" s="76"/>
      <c r="I629" s="76"/>
      <c r="R629" s="77"/>
      <c r="S629" s="77"/>
      <c r="U629" s="78"/>
      <c r="V629" s="78"/>
      <c r="AD629" s="77"/>
    </row>
    <row r="630" spans="5:30">
      <c r="E630" s="75"/>
      <c r="F630" s="75"/>
      <c r="H630" s="76"/>
      <c r="I630" s="76"/>
      <c r="R630" s="77"/>
      <c r="S630" s="77"/>
      <c r="U630" s="78"/>
      <c r="V630" s="78"/>
      <c r="AD630" s="77"/>
    </row>
    <row r="631" spans="5:30">
      <c r="E631" s="75"/>
      <c r="F631" s="75"/>
      <c r="H631" s="76"/>
      <c r="I631" s="76"/>
      <c r="R631" s="77"/>
      <c r="S631" s="77"/>
      <c r="U631" s="78"/>
      <c r="V631" s="78"/>
      <c r="AD631" s="77"/>
    </row>
    <row r="632" spans="5:30">
      <c r="E632" s="75"/>
      <c r="F632" s="75"/>
      <c r="H632" s="76"/>
      <c r="I632" s="76"/>
      <c r="R632" s="77"/>
      <c r="S632" s="77"/>
      <c r="U632" s="78"/>
      <c r="V632" s="78"/>
      <c r="AD632" s="77"/>
    </row>
    <row r="633" spans="5:30">
      <c r="E633" s="75"/>
      <c r="F633" s="75"/>
      <c r="H633" s="76"/>
      <c r="I633" s="76"/>
      <c r="R633" s="77"/>
      <c r="S633" s="77"/>
      <c r="U633" s="78"/>
      <c r="V633" s="78"/>
      <c r="AD633" s="77"/>
    </row>
    <row r="634" spans="5:30">
      <c r="E634" s="75"/>
      <c r="F634" s="75"/>
      <c r="H634" s="76"/>
      <c r="I634" s="76"/>
      <c r="R634" s="77"/>
      <c r="S634" s="77"/>
      <c r="U634" s="78"/>
      <c r="V634" s="78"/>
      <c r="AD634" s="77"/>
    </row>
    <row r="635" spans="5:30">
      <c r="E635" s="75"/>
      <c r="F635" s="75"/>
      <c r="H635" s="76"/>
      <c r="I635" s="76"/>
      <c r="R635" s="77"/>
      <c r="S635" s="77"/>
      <c r="U635" s="78"/>
      <c r="V635" s="78"/>
      <c r="AD635" s="77"/>
    </row>
    <row r="636" spans="5:30">
      <c r="E636" s="75"/>
      <c r="F636" s="75"/>
      <c r="H636" s="76"/>
      <c r="I636" s="76"/>
      <c r="R636" s="77"/>
      <c r="S636" s="77"/>
      <c r="U636" s="78"/>
      <c r="V636" s="78"/>
      <c r="AD636" s="77"/>
    </row>
    <row r="637" spans="5:30">
      <c r="E637" s="75"/>
      <c r="F637" s="75"/>
      <c r="H637" s="76"/>
      <c r="I637" s="76"/>
      <c r="R637" s="77"/>
      <c r="S637" s="77"/>
      <c r="U637" s="78"/>
      <c r="V637" s="78"/>
    </row>
    <row r="638" spans="5:30">
      <c r="E638" s="75"/>
      <c r="F638" s="75"/>
      <c r="H638" s="76"/>
      <c r="I638" s="76"/>
      <c r="R638" s="77"/>
      <c r="S638" s="77"/>
      <c r="U638" s="78"/>
      <c r="V638" s="78"/>
      <c r="AD638" s="77"/>
    </row>
    <row r="639" spans="5:30">
      <c r="E639" s="75"/>
      <c r="F639" s="75"/>
      <c r="H639" s="76"/>
      <c r="I639" s="76"/>
      <c r="R639" s="77"/>
      <c r="S639" s="77"/>
      <c r="U639" s="78"/>
      <c r="V639" s="78"/>
      <c r="AD639" s="77"/>
    </row>
    <row r="640" spans="5:30">
      <c r="E640" s="75"/>
      <c r="F640" s="75"/>
      <c r="H640" s="76"/>
      <c r="I640" s="76"/>
      <c r="R640" s="77"/>
      <c r="S640" s="77"/>
      <c r="U640" s="78"/>
      <c r="V640" s="78"/>
      <c r="AD640" s="77"/>
    </row>
    <row r="641" spans="5:30">
      <c r="E641" s="75"/>
      <c r="F641" s="75"/>
      <c r="H641" s="76"/>
      <c r="I641" s="76"/>
      <c r="R641" s="77"/>
      <c r="S641" s="77"/>
      <c r="U641" s="78"/>
      <c r="V641" s="78"/>
      <c r="AD641" s="77"/>
    </row>
    <row r="642" spans="5:30">
      <c r="E642" s="75"/>
      <c r="F642" s="75"/>
      <c r="H642" s="76"/>
      <c r="I642" s="76"/>
      <c r="R642" s="77"/>
      <c r="S642" s="77"/>
      <c r="U642" s="78"/>
      <c r="V642" s="78"/>
      <c r="AD642" s="77"/>
    </row>
    <row r="643" spans="5:30">
      <c r="E643" s="75"/>
      <c r="F643" s="75"/>
      <c r="H643" s="76"/>
      <c r="I643" s="76"/>
      <c r="R643" s="77"/>
      <c r="S643" s="77"/>
      <c r="U643" s="78"/>
      <c r="V643" s="78"/>
      <c r="AD643" s="77"/>
    </row>
    <row r="644" spans="5:30">
      <c r="E644" s="75"/>
      <c r="F644" s="75"/>
      <c r="H644" s="76"/>
      <c r="I644" s="76"/>
      <c r="R644" s="77"/>
      <c r="S644" s="77"/>
      <c r="U644" s="78"/>
      <c r="V644" s="78"/>
      <c r="AD644" s="77"/>
    </row>
    <row r="645" spans="5:30">
      <c r="E645" s="75"/>
      <c r="F645" s="75"/>
      <c r="H645" s="76"/>
      <c r="I645" s="76"/>
      <c r="R645" s="77"/>
      <c r="S645" s="77"/>
      <c r="U645" s="78"/>
      <c r="V645" s="78"/>
      <c r="AD645" s="77"/>
    </row>
    <row r="646" spans="5:30">
      <c r="E646" s="75"/>
      <c r="F646" s="75"/>
      <c r="H646" s="76"/>
      <c r="I646" s="76"/>
      <c r="R646" s="77"/>
      <c r="S646" s="77"/>
      <c r="U646" s="78"/>
      <c r="V646" s="78"/>
      <c r="AD646" s="77"/>
    </row>
    <row r="647" spans="5:30">
      <c r="E647" s="75"/>
      <c r="F647" s="75"/>
      <c r="H647" s="76"/>
      <c r="I647" s="76"/>
      <c r="R647" s="77"/>
      <c r="S647" s="77"/>
      <c r="U647" s="78"/>
      <c r="V647" s="78"/>
      <c r="AD647" s="77"/>
    </row>
    <row r="648" spans="5:30">
      <c r="E648" s="75"/>
      <c r="F648" s="75"/>
      <c r="H648" s="76"/>
      <c r="I648" s="76"/>
      <c r="R648" s="77"/>
      <c r="S648" s="77"/>
      <c r="U648" s="78"/>
      <c r="V648" s="78"/>
      <c r="AD648" s="77"/>
    </row>
    <row r="649" spans="5:30">
      <c r="E649" s="75"/>
      <c r="F649" s="75"/>
      <c r="H649" s="76"/>
      <c r="I649" s="76"/>
      <c r="R649" s="77"/>
      <c r="S649" s="77"/>
      <c r="U649" s="78"/>
      <c r="V649" s="78"/>
      <c r="AD649" s="77"/>
    </row>
    <row r="650" spans="5:30">
      <c r="E650" s="75"/>
      <c r="F650" s="75"/>
      <c r="H650" s="76"/>
      <c r="I650" s="76"/>
      <c r="R650" s="77"/>
      <c r="S650" s="77"/>
      <c r="U650" s="78"/>
      <c r="V650" s="78"/>
      <c r="AD650" s="77"/>
    </row>
    <row r="651" spans="5:30">
      <c r="E651" s="75"/>
      <c r="F651" s="75"/>
      <c r="H651" s="76"/>
      <c r="I651" s="76"/>
      <c r="R651" s="77"/>
      <c r="S651" s="77"/>
      <c r="U651" s="78"/>
      <c r="V651" s="78"/>
      <c r="AD651" s="77"/>
    </row>
    <row r="652" spans="5:30">
      <c r="E652" s="75"/>
      <c r="F652" s="75"/>
      <c r="H652" s="76"/>
      <c r="I652" s="76"/>
      <c r="R652" s="77"/>
      <c r="S652" s="77"/>
      <c r="U652" s="78"/>
      <c r="V652" s="78"/>
      <c r="AD652" s="77"/>
    </row>
    <row r="653" spans="5:30">
      <c r="E653" s="75"/>
      <c r="F653" s="75"/>
      <c r="H653" s="76"/>
      <c r="I653" s="76"/>
      <c r="R653" s="77"/>
      <c r="S653" s="77"/>
      <c r="U653" s="78"/>
      <c r="V653" s="78"/>
      <c r="AD653" s="77"/>
    </row>
    <row r="654" spans="5:30">
      <c r="E654" s="75"/>
      <c r="F654" s="75"/>
      <c r="H654" s="76"/>
      <c r="I654" s="76"/>
      <c r="R654" s="77"/>
      <c r="S654" s="77"/>
      <c r="U654" s="78"/>
      <c r="V654" s="78"/>
      <c r="AD654" s="77"/>
    </row>
    <row r="655" spans="5:30">
      <c r="E655" s="75"/>
      <c r="F655" s="75"/>
      <c r="H655" s="76"/>
      <c r="I655" s="76"/>
      <c r="R655" s="77"/>
      <c r="S655" s="77"/>
      <c r="U655" s="78"/>
      <c r="V655" s="78"/>
      <c r="AD655" s="77"/>
    </row>
    <row r="656" spans="5:30">
      <c r="E656" s="75"/>
      <c r="F656" s="75"/>
      <c r="H656" s="76"/>
      <c r="I656" s="76"/>
      <c r="R656" s="77"/>
      <c r="S656" s="77"/>
      <c r="U656" s="78"/>
      <c r="V656" s="78"/>
      <c r="AD656" s="77"/>
    </row>
    <row r="657" spans="5:30">
      <c r="E657" s="75"/>
      <c r="F657" s="75"/>
      <c r="H657" s="76"/>
      <c r="I657" s="76"/>
      <c r="R657" s="77"/>
      <c r="S657" s="77"/>
      <c r="U657" s="78"/>
      <c r="V657" s="78"/>
      <c r="AD657" s="77"/>
    </row>
    <row r="658" spans="5:30">
      <c r="E658" s="75"/>
      <c r="F658" s="75"/>
      <c r="H658" s="76"/>
      <c r="I658" s="76"/>
      <c r="R658" s="77"/>
      <c r="S658" s="77"/>
      <c r="U658" s="78"/>
      <c r="V658" s="78"/>
      <c r="AD658" s="77"/>
    </row>
    <row r="659" spans="5:30">
      <c r="E659" s="75"/>
      <c r="F659" s="75"/>
      <c r="H659" s="76"/>
      <c r="I659" s="76"/>
      <c r="R659" s="77"/>
      <c r="S659" s="77"/>
      <c r="U659" s="78"/>
      <c r="V659" s="78"/>
      <c r="AD659" s="77"/>
    </row>
    <row r="660" spans="5:30">
      <c r="E660" s="75"/>
      <c r="F660" s="75"/>
      <c r="H660" s="76"/>
      <c r="I660" s="76"/>
      <c r="R660" s="77"/>
      <c r="S660" s="77"/>
      <c r="U660" s="78"/>
      <c r="V660" s="78"/>
      <c r="AD660" s="77"/>
    </row>
    <row r="661" spans="5:30">
      <c r="E661" s="75"/>
      <c r="F661" s="75"/>
      <c r="H661" s="76"/>
      <c r="I661" s="76"/>
      <c r="R661" s="77"/>
      <c r="S661" s="77"/>
      <c r="U661" s="78"/>
      <c r="V661" s="78"/>
      <c r="AD661" s="77"/>
    </row>
    <row r="662" spans="5:30">
      <c r="E662" s="75"/>
      <c r="F662" s="75"/>
      <c r="H662" s="76"/>
      <c r="I662" s="76"/>
      <c r="R662" s="77"/>
      <c r="S662" s="77"/>
      <c r="U662" s="78"/>
      <c r="V662" s="78"/>
      <c r="AD662" s="77"/>
    </row>
    <row r="663" spans="5:30">
      <c r="E663" s="75"/>
      <c r="F663" s="75"/>
      <c r="H663" s="76"/>
      <c r="I663" s="76"/>
      <c r="R663" s="77"/>
      <c r="S663" s="77"/>
      <c r="U663" s="78"/>
      <c r="V663" s="78"/>
      <c r="AD663" s="77"/>
    </row>
    <row r="664" spans="5:30">
      <c r="E664" s="75"/>
      <c r="F664" s="75"/>
      <c r="H664" s="76"/>
      <c r="I664" s="76"/>
      <c r="R664" s="77"/>
      <c r="S664" s="77"/>
      <c r="U664" s="78"/>
      <c r="V664" s="78"/>
      <c r="AD664" s="77"/>
    </row>
    <row r="665" spans="5:30">
      <c r="E665" s="75"/>
      <c r="F665" s="75"/>
      <c r="H665" s="76"/>
      <c r="I665" s="76"/>
      <c r="R665" s="77"/>
      <c r="S665" s="77"/>
      <c r="U665" s="78"/>
      <c r="V665" s="78"/>
      <c r="AD665" s="77"/>
    </row>
    <row r="666" spans="5:30">
      <c r="E666" s="75"/>
      <c r="F666" s="75"/>
      <c r="H666" s="76"/>
      <c r="I666" s="76"/>
      <c r="R666" s="77"/>
      <c r="S666" s="77"/>
      <c r="U666" s="78"/>
      <c r="V666" s="78"/>
      <c r="AD666" s="77"/>
    </row>
    <row r="667" spans="5:30">
      <c r="E667" s="75"/>
      <c r="F667" s="75"/>
      <c r="H667" s="76"/>
      <c r="I667" s="76"/>
      <c r="R667" s="77"/>
      <c r="S667" s="77"/>
      <c r="U667" s="78"/>
      <c r="V667" s="78"/>
      <c r="AD667" s="77"/>
    </row>
    <row r="668" spans="5:30">
      <c r="E668" s="75"/>
      <c r="F668" s="75"/>
      <c r="H668" s="76"/>
      <c r="I668" s="76"/>
      <c r="R668" s="77"/>
      <c r="S668" s="77"/>
      <c r="U668" s="78"/>
      <c r="V668" s="78"/>
      <c r="AD668" s="77"/>
    </row>
    <row r="669" spans="5:30">
      <c r="E669" s="75"/>
      <c r="F669" s="75"/>
      <c r="H669" s="76"/>
      <c r="I669" s="76"/>
      <c r="R669" s="77"/>
      <c r="S669" s="77"/>
      <c r="U669" s="78"/>
      <c r="V669" s="78"/>
      <c r="AD669" s="77"/>
    </row>
    <row r="670" spans="5:30">
      <c r="E670" s="75"/>
      <c r="F670" s="75"/>
      <c r="H670" s="76"/>
      <c r="I670" s="76"/>
      <c r="R670" s="77"/>
      <c r="S670" s="77"/>
      <c r="U670" s="78"/>
      <c r="V670" s="78"/>
      <c r="AD670" s="77"/>
    </row>
    <row r="671" spans="5:30">
      <c r="E671" s="75"/>
      <c r="F671" s="75"/>
      <c r="H671" s="76"/>
      <c r="I671" s="76"/>
      <c r="R671" s="77"/>
      <c r="S671" s="77"/>
      <c r="U671" s="78"/>
      <c r="V671" s="78"/>
      <c r="AD671" s="77"/>
    </row>
    <row r="672" spans="5:30">
      <c r="E672" s="75"/>
      <c r="F672" s="75"/>
      <c r="H672" s="76"/>
      <c r="I672" s="76"/>
      <c r="R672" s="77"/>
      <c r="S672" s="77"/>
      <c r="U672" s="78"/>
      <c r="V672" s="78"/>
      <c r="AD672" s="77"/>
    </row>
    <row r="673" spans="5:40">
      <c r="E673" s="75"/>
      <c r="F673" s="75"/>
      <c r="H673" s="76"/>
      <c r="I673" s="76"/>
      <c r="R673" s="77"/>
      <c r="S673" s="77"/>
      <c r="U673" s="78"/>
      <c r="V673" s="78"/>
      <c r="AD673" s="77"/>
    </row>
    <row r="674" spans="5:40">
      <c r="E674" s="75"/>
      <c r="F674" s="75"/>
      <c r="H674" s="76"/>
      <c r="I674" s="76"/>
      <c r="R674" s="77"/>
      <c r="S674" s="77"/>
      <c r="U674" s="78"/>
      <c r="V674" s="78"/>
      <c r="AD674" s="77"/>
    </row>
    <row r="675" spans="5:40">
      <c r="E675" s="75"/>
      <c r="F675" s="75"/>
      <c r="G675" s="77"/>
      <c r="H675" s="76"/>
      <c r="I675" s="76"/>
      <c r="J675" s="77"/>
      <c r="K675" s="77"/>
      <c r="N675" s="77"/>
      <c r="O675" s="77"/>
      <c r="P675" s="77"/>
      <c r="Q675" s="77"/>
      <c r="R675" s="77"/>
      <c r="S675" s="77"/>
      <c r="T675" s="77"/>
      <c r="U675" s="77"/>
      <c r="V675" s="77"/>
      <c r="AD675" s="77"/>
      <c r="AE675" s="77"/>
      <c r="AF675" s="77"/>
      <c r="AG675" s="77"/>
      <c r="AH675" s="77"/>
      <c r="AJ675" s="77"/>
      <c r="AK675" s="77"/>
      <c r="AL675" s="77"/>
      <c r="AM675" s="77"/>
      <c r="AN675" s="77"/>
    </row>
    <row r="676" spans="5:40">
      <c r="E676" s="75"/>
      <c r="F676" s="75"/>
      <c r="H676" s="76"/>
      <c r="I676" s="76"/>
      <c r="R676" s="77"/>
      <c r="S676" s="77"/>
      <c r="U676" s="78"/>
      <c r="V676" s="78"/>
      <c r="AD676" s="77"/>
    </row>
    <row r="677" spans="5:40">
      <c r="E677" s="75"/>
      <c r="F677" s="75"/>
      <c r="H677" s="76"/>
      <c r="I677" s="76"/>
      <c r="R677" s="77"/>
      <c r="S677" s="77"/>
      <c r="U677" s="78"/>
      <c r="V677" s="78"/>
      <c r="AD677" s="77"/>
    </row>
    <row r="678" spans="5:40">
      <c r="E678" s="75"/>
      <c r="F678" s="75"/>
      <c r="H678" s="76"/>
      <c r="I678" s="76"/>
      <c r="R678" s="77"/>
      <c r="S678" s="77"/>
      <c r="U678" s="78"/>
      <c r="V678" s="78"/>
      <c r="AD678" s="77"/>
    </row>
    <row r="679" spans="5:40">
      <c r="E679" s="75"/>
      <c r="F679" s="75"/>
      <c r="H679" s="76"/>
      <c r="I679" s="76"/>
      <c r="R679" s="77"/>
      <c r="S679" s="77"/>
      <c r="U679" s="78"/>
      <c r="V679" s="78"/>
      <c r="AD679" s="77"/>
    </row>
    <row r="680" spans="5:40">
      <c r="E680" s="75"/>
      <c r="F680" s="75"/>
      <c r="H680" s="76"/>
      <c r="I680" s="76"/>
      <c r="R680" s="77"/>
      <c r="S680" s="77"/>
      <c r="U680" s="78"/>
      <c r="V680" s="78"/>
      <c r="AD680" s="77"/>
    </row>
    <row r="681" spans="5:40">
      <c r="E681" s="75"/>
      <c r="F681" s="75"/>
      <c r="H681" s="76"/>
      <c r="I681" s="76"/>
      <c r="R681" s="77"/>
      <c r="S681" s="77"/>
      <c r="U681" s="78"/>
      <c r="V681" s="78"/>
      <c r="AD681" s="77"/>
    </row>
    <row r="682" spans="5:40">
      <c r="E682" s="75"/>
      <c r="F682" s="75"/>
      <c r="H682" s="76"/>
      <c r="I682" s="76"/>
      <c r="R682" s="77"/>
      <c r="S682" s="77"/>
      <c r="U682" s="78"/>
      <c r="V682" s="78"/>
      <c r="AD682" s="77"/>
    </row>
    <row r="683" spans="5:40">
      <c r="E683" s="75"/>
      <c r="F683" s="75"/>
      <c r="H683" s="76"/>
      <c r="I683" s="76"/>
      <c r="R683" s="77"/>
      <c r="S683" s="77"/>
      <c r="U683" s="78"/>
      <c r="V683" s="78"/>
      <c r="AD683" s="77"/>
    </row>
    <row r="684" spans="5:40">
      <c r="E684" s="75"/>
      <c r="F684" s="75"/>
      <c r="H684" s="76"/>
      <c r="I684" s="76"/>
      <c r="R684" s="77"/>
      <c r="S684" s="77"/>
      <c r="U684" s="78"/>
      <c r="V684" s="78"/>
      <c r="AD684" s="77"/>
    </row>
    <row r="685" spans="5:40">
      <c r="E685" s="75"/>
      <c r="F685" s="75"/>
      <c r="H685" s="76"/>
      <c r="I685" s="76"/>
      <c r="R685" s="77"/>
      <c r="S685" s="77"/>
      <c r="U685" s="78"/>
      <c r="V685" s="78"/>
      <c r="AD685" s="77"/>
    </row>
    <row r="686" spans="5:40">
      <c r="E686" s="75"/>
      <c r="F686" s="75"/>
      <c r="H686" s="76"/>
      <c r="I686" s="76"/>
      <c r="R686" s="77"/>
      <c r="S686" s="77"/>
      <c r="U686" s="78"/>
      <c r="V686" s="78"/>
      <c r="AD686" s="77"/>
    </row>
    <row r="687" spans="5:40">
      <c r="E687" s="75"/>
      <c r="F687" s="75"/>
      <c r="H687" s="76"/>
      <c r="I687" s="76"/>
      <c r="R687" s="77"/>
      <c r="S687" s="77"/>
      <c r="U687" s="78"/>
      <c r="V687" s="78"/>
      <c r="AD687" s="77"/>
    </row>
    <row r="688" spans="5:40">
      <c r="E688" s="75"/>
      <c r="F688" s="75"/>
      <c r="H688" s="76"/>
      <c r="I688" s="76"/>
      <c r="R688" s="77"/>
      <c r="S688" s="77"/>
      <c r="U688" s="78"/>
      <c r="V688" s="78"/>
      <c r="AD688" s="77"/>
    </row>
    <row r="689" spans="5:30">
      <c r="E689" s="75"/>
      <c r="F689" s="75"/>
      <c r="H689" s="76"/>
      <c r="I689" s="76"/>
      <c r="R689" s="77"/>
      <c r="S689" s="77"/>
      <c r="U689" s="78"/>
      <c r="V689" s="78"/>
      <c r="AD689" s="77"/>
    </row>
    <row r="690" spans="5:30">
      <c r="E690" s="75"/>
      <c r="F690" s="75"/>
      <c r="H690" s="76"/>
      <c r="I690" s="76"/>
      <c r="R690" s="77"/>
      <c r="S690" s="77"/>
      <c r="U690" s="78"/>
      <c r="V690" s="78"/>
      <c r="AD690" s="77"/>
    </row>
    <row r="691" spans="5:30">
      <c r="E691" s="75"/>
      <c r="F691" s="75"/>
      <c r="H691" s="76"/>
      <c r="I691" s="76"/>
      <c r="R691" s="77"/>
      <c r="S691" s="77"/>
      <c r="U691" s="78"/>
      <c r="V691" s="78"/>
      <c r="AD691" s="77"/>
    </row>
    <row r="692" spans="5:30">
      <c r="E692" s="75"/>
      <c r="F692" s="75"/>
      <c r="H692" s="76"/>
      <c r="I692" s="76"/>
      <c r="R692" s="77"/>
      <c r="S692" s="77"/>
      <c r="U692" s="78"/>
      <c r="V692" s="78"/>
      <c r="AD692" s="77"/>
    </row>
    <row r="693" spans="5:30">
      <c r="E693" s="75"/>
      <c r="F693" s="75"/>
      <c r="H693" s="76"/>
      <c r="I693" s="76"/>
      <c r="R693" s="77"/>
      <c r="S693" s="77"/>
      <c r="U693" s="78"/>
      <c r="V693" s="78"/>
      <c r="AD693" s="77"/>
    </row>
    <row r="694" spans="5:30">
      <c r="E694" s="75"/>
      <c r="F694" s="75"/>
      <c r="H694" s="76"/>
      <c r="I694" s="76"/>
      <c r="R694" s="77"/>
      <c r="S694" s="77"/>
      <c r="U694" s="78"/>
      <c r="V694" s="78"/>
      <c r="AD694" s="77"/>
    </row>
    <row r="695" spans="5:30">
      <c r="E695" s="75"/>
      <c r="F695" s="75"/>
      <c r="H695" s="76"/>
      <c r="I695" s="76"/>
      <c r="R695" s="77"/>
      <c r="S695" s="77"/>
      <c r="U695" s="78"/>
      <c r="V695" s="78"/>
      <c r="AD695" s="77"/>
    </row>
    <row r="696" spans="5:30">
      <c r="E696" s="75"/>
      <c r="F696" s="75"/>
      <c r="H696" s="76"/>
      <c r="I696" s="76"/>
      <c r="R696" s="77"/>
      <c r="S696" s="77"/>
      <c r="U696" s="78"/>
      <c r="V696" s="78"/>
      <c r="AD696" s="77"/>
    </row>
    <row r="697" spans="5:30">
      <c r="E697" s="75"/>
      <c r="F697" s="75"/>
      <c r="H697" s="76"/>
      <c r="I697" s="76"/>
      <c r="R697" s="77"/>
      <c r="S697" s="77"/>
      <c r="U697" s="78"/>
      <c r="V697" s="78"/>
      <c r="AD697" s="77"/>
    </row>
    <row r="698" spans="5:30">
      <c r="E698" s="75"/>
      <c r="F698" s="75"/>
      <c r="H698" s="76"/>
      <c r="I698" s="76"/>
      <c r="R698" s="77"/>
      <c r="S698" s="77"/>
      <c r="U698" s="78"/>
      <c r="V698" s="78"/>
      <c r="AD698" s="77"/>
    </row>
    <row r="699" spans="5:30">
      <c r="E699" s="75"/>
      <c r="F699" s="75"/>
      <c r="H699" s="76"/>
      <c r="I699" s="76"/>
      <c r="R699" s="77"/>
      <c r="S699" s="77"/>
      <c r="U699" s="78"/>
      <c r="V699" s="78"/>
      <c r="AD699" s="77"/>
    </row>
    <row r="700" spans="5:30">
      <c r="E700" s="75"/>
      <c r="F700" s="75"/>
      <c r="H700" s="76"/>
      <c r="I700" s="76"/>
      <c r="R700" s="77"/>
      <c r="S700" s="77"/>
      <c r="U700" s="78"/>
      <c r="V700" s="78"/>
      <c r="AD700" s="77"/>
    </row>
    <row r="701" spans="5:30">
      <c r="E701" s="75"/>
      <c r="F701" s="75"/>
      <c r="H701" s="76"/>
      <c r="I701" s="76"/>
      <c r="R701" s="77"/>
      <c r="S701" s="77"/>
      <c r="U701" s="78"/>
      <c r="V701" s="78"/>
      <c r="AD701" s="77"/>
    </row>
    <row r="702" spans="5:30">
      <c r="E702" s="75"/>
      <c r="F702" s="75"/>
      <c r="H702" s="76"/>
      <c r="I702" s="76"/>
      <c r="R702" s="77"/>
      <c r="S702" s="77"/>
      <c r="U702" s="78"/>
      <c r="V702" s="78"/>
      <c r="AD702" s="77"/>
    </row>
    <row r="703" spans="5:30">
      <c r="E703" s="75"/>
      <c r="F703" s="75"/>
      <c r="H703" s="76"/>
      <c r="I703" s="76"/>
      <c r="R703" s="77"/>
      <c r="S703" s="77"/>
      <c r="U703" s="78"/>
      <c r="V703" s="78"/>
      <c r="AD703" s="77"/>
    </row>
    <row r="704" spans="5:30">
      <c r="E704" s="75"/>
      <c r="F704" s="75"/>
      <c r="H704" s="76"/>
      <c r="I704" s="76"/>
      <c r="R704" s="77"/>
      <c r="S704" s="77"/>
      <c r="U704" s="78"/>
      <c r="V704" s="78"/>
      <c r="AD704" s="77"/>
    </row>
    <row r="705" spans="5:30">
      <c r="E705" s="75"/>
      <c r="F705" s="75"/>
      <c r="H705" s="76"/>
      <c r="I705" s="76"/>
      <c r="R705" s="77"/>
      <c r="S705" s="77"/>
      <c r="U705" s="78"/>
      <c r="V705" s="78"/>
      <c r="AD705" s="77"/>
    </row>
    <row r="706" spans="5:30">
      <c r="E706" s="75"/>
      <c r="F706" s="75"/>
      <c r="H706" s="76"/>
      <c r="I706" s="76"/>
      <c r="R706" s="77"/>
      <c r="S706" s="77"/>
      <c r="U706" s="78"/>
      <c r="V706" s="78"/>
      <c r="AD706" s="77"/>
    </row>
    <row r="707" spans="5:30">
      <c r="E707" s="75"/>
      <c r="F707" s="75"/>
      <c r="H707" s="76"/>
      <c r="I707" s="76"/>
      <c r="R707" s="77"/>
      <c r="S707" s="77"/>
      <c r="U707" s="78"/>
      <c r="V707" s="78"/>
      <c r="AD707" s="77"/>
    </row>
    <row r="708" spans="5:30">
      <c r="E708" s="75"/>
      <c r="F708" s="75"/>
      <c r="H708" s="76"/>
      <c r="I708" s="76"/>
      <c r="R708" s="77"/>
      <c r="S708" s="77"/>
      <c r="U708" s="78"/>
      <c r="V708" s="78"/>
      <c r="AD708" s="77"/>
    </row>
    <row r="709" spans="5:30">
      <c r="E709" s="75"/>
      <c r="F709" s="75"/>
      <c r="H709" s="76"/>
      <c r="I709" s="76"/>
      <c r="R709" s="77"/>
      <c r="S709" s="77"/>
      <c r="U709" s="78"/>
      <c r="V709" s="78"/>
      <c r="AD709" s="77"/>
    </row>
    <row r="710" spans="5:30">
      <c r="E710" s="75"/>
      <c r="F710" s="75"/>
      <c r="H710" s="76"/>
      <c r="I710" s="76"/>
      <c r="R710" s="77"/>
      <c r="S710" s="77"/>
      <c r="U710" s="78"/>
      <c r="V710" s="78"/>
      <c r="AD710" s="77"/>
    </row>
    <row r="711" spans="5:30">
      <c r="E711" s="75"/>
      <c r="F711" s="75"/>
      <c r="H711" s="76"/>
      <c r="I711" s="76"/>
      <c r="R711" s="77"/>
      <c r="S711" s="77"/>
      <c r="U711" s="78"/>
      <c r="V711" s="78"/>
      <c r="AD711" s="77"/>
    </row>
    <row r="712" spans="5:30">
      <c r="E712" s="75"/>
      <c r="F712" s="75"/>
      <c r="H712" s="76"/>
      <c r="I712" s="76"/>
      <c r="R712" s="77"/>
      <c r="S712" s="77"/>
      <c r="U712" s="78"/>
      <c r="V712" s="78"/>
      <c r="AD712" s="77"/>
    </row>
    <row r="713" spans="5:30">
      <c r="E713" s="75"/>
      <c r="F713" s="75"/>
      <c r="H713" s="76"/>
      <c r="I713" s="76"/>
      <c r="R713" s="77"/>
      <c r="S713" s="77"/>
      <c r="U713" s="78"/>
      <c r="V713" s="78"/>
      <c r="AD713" s="77"/>
    </row>
    <row r="714" spans="5:30">
      <c r="E714" s="75"/>
      <c r="F714" s="75"/>
      <c r="H714" s="76"/>
      <c r="I714" s="76"/>
      <c r="R714" s="77"/>
      <c r="S714" s="77"/>
      <c r="U714" s="78"/>
      <c r="V714" s="78"/>
      <c r="AD714" s="77"/>
    </row>
    <row r="715" spans="5:30">
      <c r="E715" s="75"/>
      <c r="F715" s="75"/>
      <c r="H715" s="76"/>
      <c r="I715" s="76"/>
      <c r="R715" s="77"/>
      <c r="S715" s="77"/>
      <c r="U715" s="78"/>
      <c r="V715" s="78"/>
      <c r="AD715" s="77"/>
    </row>
    <row r="716" spans="5:30">
      <c r="E716" s="75"/>
      <c r="F716" s="75"/>
      <c r="H716" s="76"/>
      <c r="I716" s="76"/>
      <c r="R716" s="77"/>
      <c r="S716" s="77"/>
      <c r="U716" s="78"/>
      <c r="V716" s="78"/>
      <c r="AD716" s="77"/>
    </row>
    <row r="717" spans="5:30">
      <c r="E717" s="75"/>
      <c r="F717" s="75"/>
      <c r="H717" s="76"/>
      <c r="I717" s="76"/>
      <c r="R717" s="77"/>
      <c r="S717" s="77"/>
      <c r="U717" s="78"/>
      <c r="V717" s="78"/>
      <c r="AD717" s="77"/>
    </row>
    <row r="718" spans="5:30">
      <c r="E718" s="75"/>
      <c r="F718" s="75"/>
      <c r="H718" s="76"/>
      <c r="I718" s="76"/>
      <c r="R718" s="77"/>
      <c r="S718" s="77"/>
      <c r="U718" s="78"/>
      <c r="V718" s="78"/>
      <c r="AD718" s="77"/>
    </row>
    <row r="719" spans="5:30">
      <c r="E719" s="75"/>
      <c r="F719" s="75"/>
      <c r="H719" s="76"/>
      <c r="I719" s="76"/>
      <c r="R719" s="77"/>
      <c r="S719" s="77"/>
      <c r="U719" s="78"/>
      <c r="V719" s="78"/>
      <c r="AD719" s="77"/>
    </row>
    <row r="720" spans="5:30">
      <c r="E720" s="75"/>
      <c r="F720" s="75"/>
      <c r="H720" s="76"/>
      <c r="I720" s="76"/>
      <c r="R720" s="77"/>
      <c r="S720" s="77"/>
      <c r="U720" s="78"/>
      <c r="V720" s="78"/>
      <c r="AD720" s="77"/>
    </row>
    <row r="721" spans="5:30">
      <c r="E721" s="75"/>
      <c r="F721" s="75"/>
      <c r="H721" s="76"/>
      <c r="I721" s="76"/>
      <c r="R721" s="77"/>
      <c r="S721" s="77"/>
      <c r="U721" s="78"/>
      <c r="V721" s="78"/>
      <c r="AD721" s="77"/>
    </row>
    <row r="722" spans="5:30">
      <c r="E722" s="75"/>
      <c r="F722" s="75"/>
      <c r="H722" s="76"/>
      <c r="I722" s="76"/>
      <c r="R722" s="77"/>
      <c r="S722" s="77"/>
      <c r="U722" s="78"/>
      <c r="V722" s="78"/>
      <c r="AD722" s="77"/>
    </row>
    <row r="723" spans="5:30">
      <c r="E723" s="75"/>
      <c r="F723" s="75"/>
      <c r="H723" s="76"/>
      <c r="I723" s="76"/>
      <c r="R723" s="77"/>
      <c r="S723" s="77"/>
      <c r="U723" s="78"/>
      <c r="V723" s="78"/>
      <c r="AD723" s="77"/>
    </row>
    <row r="724" spans="5:30">
      <c r="E724" s="75"/>
      <c r="F724" s="75"/>
      <c r="H724" s="76"/>
      <c r="I724" s="76"/>
      <c r="R724" s="77"/>
      <c r="S724" s="77"/>
      <c r="U724" s="78"/>
      <c r="V724" s="78"/>
      <c r="AD724" s="77"/>
    </row>
    <row r="725" spans="5:30">
      <c r="E725" s="75"/>
      <c r="F725" s="75"/>
      <c r="H725" s="76"/>
      <c r="I725" s="76"/>
      <c r="R725" s="77"/>
      <c r="S725" s="77"/>
      <c r="U725" s="78"/>
      <c r="V725" s="78"/>
      <c r="AD725" s="77"/>
    </row>
    <row r="726" spans="5:30">
      <c r="E726" s="75"/>
      <c r="F726" s="75"/>
      <c r="H726" s="76"/>
      <c r="I726" s="76"/>
      <c r="R726" s="77"/>
      <c r="S726" s="77"/>
      <c r="U726" s="78"/>
      <c r="V726" s="78"/>
      <c r="AD726" s="77"/>
    </row>
    <row r="727" spans="5:30">
      <c r="E727" s="75"/>
      <c r="F727" s="75"/>
      <c r="H727" s="76"/>
      <c r="I727" s="76"/>
      <c r="R727" s="77"/>
      <c r="S727" s="77"/>
      <c r="U727" s="78"/>
      <c r="V727" s="78"/>
      <c r="AD727" s="77"/>
    </row>
    <row r="728" spans="5:30">
      <c r="E728" s="75"/>
      <c r="F728" s="75"/>
      <c r="H728" s="76"/>
      <c r="I728" s="76"/>
      <c r="R728" s="77"/>
      <c r="S728" s="77"/>
      <c r="U728" s="78"/>
      <c r="V728" s="78"/>
      <c r="AD728" s="77"/>
    </row>
    <row r="729" spans="5:30">
      <c r="E729" s="75"/>
      <c r="F729" s="75"/>
      <c r="H729" s="76"/>
      <c r="I729" s="76"/>
      <c r="R729" s="77"/>
      <c r="S729" s="77"/>
      <c r="U729" s="78"/>
      <c r="V729" s="78"/>
      <c r="AD729" s="77"/>
    </row>
    <row r="730" spans="5:30">
      <c r="E730" s="75"/>
      <c r="F730" s="75"/>
      <c r="H730" s="76"/>
      <c r="I730" s="76"/>
      <c r="R730" s="77"/>
      <c r="S730" s="77"/>
      <c r="U730" s="78"/>
      <c r="V730" s="78"/>
      <c r="AD730" s="77"/>
    </row>
    <row r="731" spans="5:30">
      <c r="E731" s="75"/>
      <c r="F731" s="75"/>
      <c r="H731" s="76"/>
      <c r="I731" s="76"/>
      <c r="R731" s="77"/>
      <c r="S731" s="77"/>
      <c r="U731" s="78"/>
      <c r="V731" s="78"/>
      <c r="AD731" s="77"/>
    </row>
    <row r="732" spans="5:30">
      <c r="E732" s="75"/>
      <c r="F732" s="75"/>
      <c r="H732" s="76"/>
      <c r="I732" s="76"/>
      <c r="R732" s="77"/>
      <c r="S732" s="77"/>
      <c r="U732" s="78"/>
      <c r="V732" s="78"/>
      <c r="AD732" s="77"/>
    </row>
    <row r="733" spans="5:30">
      <c r="E733" s="75"/>
      <c r="F733" s="75"/>
      <c r="H733" s="76"/>
      <c r="I733" s="76"/>
      <c r="R733" s="77"/>
      <c r="S733" s="77"/>
      <c r="U733" s="78"/>
      <c r="V733" s="78"/>
      <c r="AD733" s="77"/>
    </row>
    <row r="734" spans="5:30">
      <c r="E734" s="75"/>
      <c r="F734" s="75"/>
      <c r="H734" s="76"/>
      <c r="I734" s="76"/>
      <c r="R734" s="77"/>
      <c r="S734" s="77"/>
      <c r="U734" s="78"/>
      <c r="V734" s="78"/>
      <c r="AD734" s="77"/>
    </row>
    <row r="735" spans="5:30">
      <c r="E735" s="75"/>
      <c r="F735" s="75"/>
      <c r="H735" s="76"/>
      <c r="I735" s="76"/>
      <c r="R735" s="77"/>
      <c r="S735" s="77"/>
      <c r="U735" s="78"/>
      <c r="V735" s="78"/>
      <c r="AD735" s="77"/>
    </row>
    <row r="736" spans="5:30">
      <c r="E736" s="75"/>
      <c r="F736" s="75"/>
      <c r="H736" s="76"/>
      <c r="I736" s="76"/>
      <c r="R736" s="77"/>
      <c r="S736" s="77"/>
      <c r="U736" s="78"/>
      <c r="V736" s="78"/>
      <c r="AD736" s="77"/>
    </row>
    <row r="737" spans="5:30">
      <c r="E737" s="75"/>
      <c r="F737" s="75"/>
      <c r="H737" s="76"/>
      <c r="I737" s="76"/>
      <c r="R737" s="77"/>
      <c r="S737" s="77"/>
      <c r="U737" s="78"/>
      <c r="V737" s="78"/>
      <c r="AD737" s="77"/>
    </row>
    <row r="738" spans="5:30">
      <c r="E738" s="75"/>
      <c r="F738" s="75"/>
      <c r="H738" s="76"/>
      <c r="I738" s="76"/>
      <c r="R738" s="77"/>
      <c r="S738" s="77"/>
      <c r="U738" s="78"/>
      <c r="V738" s="78"/>
      <c r="AD738" s="77"/>
    </row>
    <row r="739" spans="5:30">
      <c r="E739" s="75"/>
      <c r="F739" s="75"/>
      <c r="H739" s="76"/>
      <c r="I739" s="76"/>
      <c r="R739" s="77"/>
      <c r="S739" s="77"/>
      <c r="U739" s="78"/>
      <c r="V739" s="78"/>
      <c r="AD739" s="77"/>
    </row>
    <row r="740" spans="5:30">
      <c r="E740" s="75"/>
      <c r="F740" s="75"/>
      <c r="H740" s="76"/>
      <c r="I740" s="76"/>
      <c r="R740" s="77"/>
      <c r="S740" s="77"/>
      <c r="U740" s="78"/>
      <c r="V740" s="78"/>
      <c r="AD740" s="77"/>
    </row>
    <row r="741" spans="5:30">
      <c r="E741" s="75"/>
      <c r="F741" s="75"/>
      <c r="H741" s="76"/>
      <c r="I741" s="76"/>
      <c r="R741" s="77"/>
      <c r="S741" s="77"/>
      <c r="U741" s="78"/>
      <c r="V741" s="78"/>
      <c r="AD741" s="77"/>
    </row>
    <row r="742" spans="5:30">
      <c r="E742" s="75"/>
      <c r="F742" s="75"/>
      <c r="H742" s="76"/>
      <c r="I742" s="76"/>
      <c r="R742" s="77"/>
      <c r="S742" s="77"/>
      <c r="U742" s="78"/>
      <c r="V742" s="78"/>
      <c r="AD742" s="77"/>
    </row>
    <row r="743" spans="5:30">
      <c r="E743" s="75"/>
      <c r="F743" s="75"/>
      <c r="H743" s="76"/>
      <c r="I743" s="76"/>
      <c r="R743" s="77"/>
      <c r="S743" s="77"/>
      <c r="U743" s="78"/>
      <c r="V743" s="78"/>
      <c r="AD743" s="77"/>
    </row>
    <row r="744" spans="5:30">
      <c r="E744" s="75"/>
      <c r="F744" s="75"/>
      <c r="H744" s="76"/>
      <c r="I744" s="76"/>
      <c r="R744" s="77"/>
      <c r="S744" s="77"/>
      <c r="U744" s="78"/>
      <c r="V744" s="78"/>
      <c r="AD744" s="77"/>
    </row>
    <row r="745" spans="5:30">
      <c r="E745" s="75"/>
      <c r="F745" s="75"/>
      <c r="H745" s="76"/>
      <c r="I745" s="76"/>
      <c r="R745" s="77"/>
      <c r="S745" s="77"/>
      <c r="U745" s="78"/>
      <c r="V745" s="78"/>
      <c r="AD745" s="77"/>
    </row>
    <row r="746" spans="5:30">
      <c r="E746" s="75"/>
      <c r="F746" s="75"/>
      <c r="H746" s="76"/>
      <c r="I746" s="76"/>
      <c r="R746" s="77"/>
      <c r="S746" s="77"/>
      <c r="U746" s="78"/>
      <c r="V746" s="78"/>
      <c r="AD746" s="77"/>
    </row>
    <row r="747" spans="5:30">
      <c r="E747" s="75"/>
      <c r="F747" s="75"/>
      <c r="I747" s="76"/>
      <c r="R747" s="77"/>
      <c r="S747" s="77"/>
      <c r="U747" s="78"/>
      <c r="V747" s="78"/>
      <c r="AD747" s="77"/>
    </row>
    <row r="748" spans="5:30">
      <c r="E748" s="75"/>
      <c r="F748" s="75"/>
      <c r="I748" s="76"/>
      <c r="R748" s="77"/>
      <c r="S748" s="77"/>
      <c r="U748" s="78"/>
      <c r="V748" s="78"/>
      <c r="AD748" s="77"/>
    </row>
    <row r="749" spans="5:30">
      <c r="E749" s="75"/>
      <c r="F749" s="75"/>
      <c r="H749" s="76"/>
      <c r="I749" s="76"/>
      <c r="R749" s="77"/>
      <c r="S749" s="77"/>
      <c r="U749" s="78"/>
      <c r="V749" s="78"/>
      <c r="AD749" s="77"/>
    </row>
    <row r="750" spans="5:30">
      <c r="E750" s="75"/>
      <c r="F750" s="75"/>
      <c r="I750" s="76"/>
      <c r="R750" s="77"/>
      <c r="S750" s="77"/>
      <c r="U750" s="78"/>
      <c r="V750" s="78"/>
      <c r="AD750" s="77"/>
    </row>
    <row r="751" spans="5:30">
      <c r="E751" s="75"/>
      <c r="F751" s="75"/>
      <c r="H751" s="76"/>
      <c r="I751" s="76"/>
      <c r="R751" s="77"/>
      <c r="S751" s="77"/>
      <c r="U751" s="78"/>
      <c r="V751" s="78"/>
      <c r="AD751" s="77"/>
    </row>
    <row r="752" spans="5:30">
      <c r="E752" s="75"/>
      <c r="F752" s="75"/>
      <c r="I752" s="76"/>
      <c r="R752" s="77"/>
      <c r="S752" s="77"/>
      <c r="U752" s="78"/>
      <c r="V752" s="78"/>
      <c r="AD752" s="77"/>
    </row>
    <row r="753" spans="5:40">
      <c r="E753" s="75"/>
      <c r="F753" s="75"/>
      <c r="I753" s="76"/>
      <c r="R753" s="77"/>
      <c r="S753" s="77"/>
      <c r="U753" s="78"/>
      <c r="V753" s="78"/>
      <c r="AD753" s="77"/>
    </row>
    <row r="754" spans="5:40">
      <c r="E754" s="75"/>
      <c r="F754" s="75"/>
      <c r="I754" s="76"/>
      <c r="R754" s="77"/>
      <c r="S754" s="77"/>
      <c r="U754" s="78"/>
      <c r="V754" s="78"/>
      <c r="AD754" s="77"/>
    </row>
    <row r="755" spans="5:40">
      <c r="E755" s="75"/>
      <c r="F755" s="75"/>
      <c r="I755" s="76"/>
      <c r="R755" s="77"/>
      <c r="S755" s="77"/>
      <c r="U755" s="78"/>
      <c r="V755" s="78"/>
      <c r="AD755" s="77"/>
    </row>
    <row r="756" spans="5:40">
      <c r="E756" s="75"/>
      <c r="F756" s="75"/>
      <c r="I756" s="76"/>
      <c r="R756" s="77"/>
      <c r="S756" s="77"/>
      <c r="U756" s="78"/>
      <c r="V756" s="78"/>
      <c r="AD756" s="77"/>
    </row>
    <row r="757" spans="5:40">
      <c r="E757" s="75"/>
      <c r="F757" s="75"/>
      <c r="I757" s="76"/>
      <c r="R757" s="77"/>
      <c r="S757" s="77"/>
      <c r="U757" s="78"/>
      <c r="V757" s="78"/>
      <c r="AD757" s="77"/>
    </row>
    <row r="758" spans="5:40">
      <c r="E758" s="75"/>
      <c r="F758" s="75"/>
      <c r="I758" s="76"/>
      <c r="R758" s="77"/>
      <c r="S758" s="77"/>
      <c r="U758" s="78"/>
      <c r="V758" s="78"/>
      <c r="AD758" s="77"/>
    </row>
    <row r="759" spans="5:40">
      <c r="E759" s="75"/>
      <c r="F759" s="75"/>
      <c r="G759" s="77"/>
      <c r="I759" s="76"/>
      <c r="J759" s="77"/>
      <c r="K759" s="77"/>
      <c r="N759" s="77"/>
      <c r="O759" s="77"/>
      <c r="P759" s="77"/>
      <c r="Q759" s="77"/>
      <c r="R759" s="77"/>
      <c r="S759" s="77"/>
      <c r="T759" s="77"/>
      <c r="U759" s="77"/>
      <c r="V759" s="77"/>
      <c r="AD759" s="77"/>
      <c r="AE759" s="77"/>
      <c r="AF759" s="77"/>
      <c r="AG759" s="77"/>
      <c r="AH759" s="77"/>
      <c r="AJ759" s="77"/>
      <c r="AK759" s="77"/>
      <c r="AL759" s="77"/>
      <c r="AM759" s="77"/>
      <c r="AN759" s="77"/>
    </row>
    <row r="760" spans="5:40">
      <c r="E760" s="75"/>
      <c r="F760" s="75"/>
      <c r="H760" s="76"/>
      <c r="I760" s="76"/>
      <c r="R760" s="77"/>
      <c r="S760" s="77"/>
      <c r="U760" s="78"/>
      <c r="V760" s="78"/>
      <c r="AD760" s="77"/>
    </row>
    <row r="761" spans="5:40">
      <c r="E761" s="75"/>
      <c r="F761" s="75"/>
      <c r="H761" s="76"/>
      <c r="I761" s="76"/>
      <c r="R761" s="77"/>
      <c r="S761" s="77"/>
      <c r="U761" s="78"/>
      <c r="V761" s="78"/>
      <c r="AD761" s="77"/>
    </row>
    <row r="762" spans="5:40">
      <c r="E762" s="75"/>
      <c r="F762" s="75"/>
      <c r="H762" s="76"/>
      <c r="I762" s="76"/>
      <c r="R762" s="77"/>
      <c r="S762" s="77"/>
      <c r="U762" s="78"/>
      <c r="V762" s="78"/>
      <c r="AD762" s="77"/>
    </row>
    <row r="763" spans="5:40">
      <c r="E763" s="75"/>
      <c r="F763" s="75"/>
      <c r="H763" s="76"/>
      <c r="I763" s="76"/>
      <c r="R763" s="77"/>
      <c r="S763" s="77"/>
      <c r="U763" s="78"/>
      <c r="V763" s="78"/>
      <c r="AD763" s="77"/>
    </row>
    <row r="764" spans="5:40">
      <c r="E764" s="75"/>
      <c r="F764" s="75"/>
      <c r="H764" s="76"/>
      <c r="I764" s="76"/>
      <c r="R764" s="77"/>
      <c r="S764" s="77"/>
      <c r="U764" s="78"/>
      <c r="V764" s="78"/>
      <c r="AD764" s="77"/>
    </row>
    <row r="765" spans="5:40">
      <c r="E765" s="75"/>
      <c r="F765" s="75"/>
      <c r="H765" s="76"/>
      <c r="I765" s="76"/>
      <c r="R765" s="77"/>
      <c r="S765" s="77"/>
      <c r="U765" s="78"/>
      <c r="V765" s="78"/>
      <c r="AD765" s="77"/>
    </row>
    <row r="766" spans="5:40">
      <c r="E766" s="75"/>
      <c r="F766" s="75"/>
      <c r="H766" s="76"/>
      <c r="I766" s="76"/>
      <c r="R766" s="77"/>
      <c r="S766" s="77"/>
      <c r="U766" s="78"/>
      <c r="V766" s="78"/>
      <c r="AD766" s="77"/>
    </row>
    <row r="767" spans="5:40">
      <c r="E767" s="75"/>
      <c r="F767" s="75"/>
      <c r="H767" s="76"/>
      <c r="I767" s="76"/>
      <c r="R767" s="77"/>
      <c r="S767" s="77"/>
      <c r="U767" s="78"/>
      <c r="V767" s="78"/>
      <c r="AD767" s="77"/>
    </row>
    <row r="768" spans="5:40">
      <c r="E768" s="75"/>
      <c r="F768" s="75"/>
      <c r="H768" s="76"/>
      <c r="I768" s="76"/>
      <c r="R768" s="77"/>
      <c r="S768" s="77"/>
      <c r="U768" s="78"/>
      <c r="V768" s="78"/>
      <c r="AD768" s="77"/>
    </row>
    <row r="769" spans="5:30">
      <c r="E769" s="75"/>
      <c r="F769" s="75"/>
      <c r="H769" s="76"/>
      <c r="I769" s="76"/>
      <c r="R769" s="77"/>
      <c r="S769" s="77"/>
      <c r="U769" s="78"/>
      <c r="V769" s="78"/>
      <c r="AD769" s="77"/>
    </row>
    <row r="770" spans="5:30">
      <c r="E770" s="75"/>
      <c r="F770" s="75"/>
      <c r="H770" s="76"/>
      <c r="I770" s="76"/>
      <c r="R770" s="77"/>
      <c r="S770" s="77"/>
      <c r="U770" s="78"/>
      <c r="V770" s="78"/>
      <c r="AD770" s="77"/>
    </row>
    <row r="771" spans="5:30">
      <c r="E771" s="75"/>
      <c r="F771" s="75"/>
      <c r="H771" s="76"/>
      <c r="I771" s="76"/>
      <c r="R771" s="77"/>
      <c r="S771" s="77"/>
      <c r="U771" s="78"/>
      <c r="V771" s="78"/>
      <c r="AD771" s="77"/>
    </row>
    <row r="772" spans="5:30">
      <c r="E772" s="75"/>
      <c r="F772" s="75"/>
      <c r="H772" s="76"/>
      <c r="I772" s="76"/>
      <c r="R772" s="77"/>
      <c r="S772" s="77"/>
      <c r="U772" s="78"/>
      <c r="V772" s="78"/>
      <c r="AD772" s="77"/>
    </row>
    <row r="773" spans="5:30">
      <c r="E773" s="75"/>
      <c r="F773" s="75"/>
      <c r="H773" s="76"/>
      <c r="I773" s="76"/>
      <c r="R773" s="77"/>
      <c r="S773" s="77"/>
      <c r="U773" s="78"/>
      <c r="V773" s="78"/>
      <c r="AD773" s="77"/>
    </row>
    <row r="774" spans="5:30">
      <c r="E774" s="75"/>
      <c r="F774" s="75"/>
      <c r="H774" s="76"/>
      <c r="I774" s="76"/>
      <c r="R774" s="77"/>
      <c r="S774" s="77"/>
      <c r="U774" s="78"/>
      <c r="V774" s="78"/>
      <c r="AD774" s="77"/>
    </row>
    <row r="775" spans="5:30">
      <c r="E775" s="75"/>
      <c r="F775" s="75"/>
      <c r="H775" s="76"/>
      <c r="I775" s="76"/>
      <c r="R775" s="77"/>
      <c r="S775" s="77"/>
      <c r="U775" s="78"/>
      <c r="V775" s="78"/>
      <c r="AD775" s="77"/>
    </row>
    <row r="776" spans="5:30">
      <c r="E776" s="75"/>
      <c r="F776" s="75"/>
      <c r="H776" s="76"/>
      <c r="I776" s="76"/>
      <c r="R776" s="77"/>
      <c r="S776" s="77"/>
      <c r="U776" s="78"/>
      <c r="V776" s="78"/>
      <c r="AD776" s="77"/>
    </row>
    <row r="777" spans="5:30">
      <c r="E777" s="75"/>
      <c r="F777" s="75"/>
      <c r="H777" s="76"/>
      <c r="I777" s="76"/>
      <c r="R777" s="77"/>
      <c r="S777" s="77"/>
      <c r="U777" s="78"/>
      <c r="V777" s="78"/>
      <c r="AD777" s="77"/>
    </row>
    <row r="778" spans="5:30">
      <c r="E778" s="75"/>
      <c r="F778" s="75"/>
      <c r="H778" s="76"/>
      <c r="I778" s="76"/>
      <c r="R778" s="77"/>
      <c r="S778" s="77"/>
      <c r="U778" s="78"/>
      <c r="V778" s="78"/>
      <c r="AD778" s="77"/>
    </row>
    <row r="779" spans="5:30">
      <c r="E779" s="75"/>
      <c r="F779" s="75"/>
      <c r="H779" s="76"/>
      <c r="I779" s="76"/>
      <c r="R779" s="77"/>
      <c r="S779" s="77"/>
      <c r="U779" s="78"/>
      <c r="V779" s="78"/>
      <c r="AD779" s="77"/>
    </row>
    <row r="780" spans="5:30">
      <c r="E780" s="75"/>
      <c r="F780" s="75"/>
      <c r="H780" s="76"/>
      <c r="I780" s="76"/>
      <c r="R780" s="77"/>
      <c r="S780" s="77"/>
      <c r="U780" s="78"/>
      <c r="V780" s="78"/>
      <c r="AD780" s="77"/>
    </row>
    <row r="781" spans="5:30">
      <c r="E781" s="75"/>
      <c r="F781" s="75"/>
      <c r="H781" s="76"/>
      <c r="I781" s="76"/>
      <c r="R781" s="77"/>
      <c r="S781" s="77"/>
      <c r="U781" s="78"/>
      <c r="V781" s="78"/>
      <c r="AD781" s="77"/>
    </row>
    <row r="782" spans="5:30">
      <c r="E782" s="75"/>
      <c r="F782" s="75"/>
      <c r="H782" s="76"/>
      <c r="I782" s="76"/>
      <c r="R782" s="77"/>
      <c r="S782" s="77"/>
      <c r="U782" s="78"/>
      <c r="V782" s="78"/>
      <c r="AD782" s="77"/>
    </row>
    <row r="783" spans="5:30">
      <c r="E783" s="75"/>
      <c r="F783" s="75"/>
      <c r="H783" s="76"/>
      <c r="I783" s="76"/>
      <c r="R783" s="77"/>
      <c r="S783" s="77"/>
      <c r="U783" s="78"/>
      <c r="V783" s="78"/>
      <c r="AD783" s="77"/>
    </row>
    <row r="784" spans="5:30">
      <c r="E784" s="75"/>
      <c r="F784" s="75"/>
      <c r="H784" s="76"/>
      <c r="I784" s="76"/>
      <c r="R784" s="77"/>
      <c r="S784" s="77"/>
      <c r="U784" s="78"/>
      <c r="V784" s="78"/>
      <c r="AD784" s="77"/>
    </row>
    <row r="785" spans="5:30">
      <c r="E785" s="75"/>
      <c r="F785" s="75"/>
      <c r="H785" s="76"/>
      <c r="I785" s="76"/>
      <c r="R785" s="77"/>
      <c r="S785" s="77"/>
      <c r="U785" s="78"/>
      <c r="V785" s="78"/>
      <c r="AD785" s="77"/>
    </row>
    <row r="786" spans="5:30">
      <c r="E786" s="75"/>
      <c r="F786" s="75"/>
      <c r="H786" s="76"/>
      <c r="I786" s="76"/>
      <c r="R786" s="77"/>
      <c r="S786" s="77"/>
      <c r="U786" s="78"/>
      <c r="V786" s="78"/>
      <c r="AD786" s="77"/>
    </row>
    <row r="787" spans="5:30">
      <c r="E787" s="75"/>
      <c r="F787" s="75"/>
      <c r="H787" s="76"/>
      <c r="I787" s="76"/>
      <c r="R787" s="77"/>
      <c r="S787" s="77"/>
      <c r="U787" s="78"/>
      <c r="V787" s="78"/>
      <c r="AD787" s="77"/>
    </row>
    <row r="788" spans="5:30">
      <c r="E788" s="75"/>
      <c r="F788" s="75"/>
      <c r="H788" s="76"/>
      <c r="I788" s="76"/>
      <c r="R788" s="77"/>
      <c r="S788" s="77"/>
      <c r="U788" s="78"/>
      <c r="V788" s="78"/>
      <c r="AD788" s="77"/>
    </row>
    <row r="789" spans="5:30">
      <c r="E789" s="75"/>
      <c r="F789" s="75"/>
      <c r="H789" s="76"/>
      <c r="I789" s="76"/>
      <c r="R789" s="77"/>
      <c r="S789" s="77"/>
      <c r="U789" s="78"/>
      <c r="V789" s="78"/>
      <c r="AD789" s="77"/>
    </row>
    <row r="790" spans="5:30">
      <c r="E790" s="75"/>
      <c r="F790" s="75"/>
      <c r="H790" s="76"/>
      <c r="I790" s="76"/>
      <c r="R790" s="77"/>
      <c r="S790" s="77"/>
      <c r="U790" s="78"/>
      <c r="V790" s="78"/>
      <c r="AD790" s="77"/>
    </row>
    <row r="791" spans="5:30">
      <c r="E791" s="75"/>
      <c r="F791" s="75"/>
      <c r="H791" s="76"/>
      <c r="I791" s="76"/>
      <c r="R791" s="77"/>
      <c r="S791" s="77"/>
      <c r="U791" s="78"/>
      <c r="V791" s="78"/>
      <c r="AD791" s="77"/>
    </row>
    <row r="792" spans="5:30">
      <c r="E792" s="75"/>
      <c r="F792" s="75"/>
      <c r="H792" s="76"/>
      <c r="I792" s="76"/>
      <c r="R792" s="77"/>
      <c r="S792" s="77"/>
      <c r="U792" s="78"/>
      <c r="V792" s="78"/>
      <c r="AD792" s="77"/>
    </row>
    <row r="793" spans="5:30">
      <c r="E793" s="75"/>
      <c r="F793" s="75"/>
      <c r="H793" s="76"/>
      <c r="I793" s="76"/>
      <c r="R793" s="77"/>
      <c r="S793" s="77"/>
      <c r="U793" s="78"/>
      <c r="V793" s="78"/>
      <c r="AD793" s="77"/>
    </row>
    <row r="794" spans="5:30">
      <c r="E794" s="75"/>
      <c r="F794" s="75"/>
      <c r="H794" s="76"/>
      <c r="I794" s="76"/>
      <c r="R794" s="77"/>
      <c r="S794" s="77"/>
      <c r="U794" s="78"/>
      <c r="V794" s="78"/>
      <c r="AD794" s="77"/>
    </row>
    <row r="795" spans="5:30">
      <c r="E795" s="75"/>
      <c r="F795" s="75"/>
      <c r="H795" s="76"/>
      <c r="I795" s="76"/>
      <c r="R795" s="77"/>
      <c r="S795" s="77"/>
      <c r="U795" s="78"/>
      <c r="V795" s="78"/>
      <c r="AD795" s="77"/>
    </row>
    <row r="796" spans="5:30">
      <c r="E796" s="75"/>
      <c r="F796" s="75"/>
      <c r="H796" s="76"/>
      <c r="I796" s="76"/>
      <c r="R796" s="77"/>
      <c r="S796" s="77"/>
      <c r="U796" s="78"/>
      <c r="V796" s="78"/>
      <c r="AD796" s="77"/>
    </row>
    <row r="797" spans="5:30">
      <c r="E797" s="75"/>
      <c r="F797" s="75"/>
      <c r="H797" s="76"/>
      <c r="I797" s="76"/>
      <c r="R797" s="77"/>
      <c r="S797" s="77"/>
      <c r="U797" s="78"/>
      <c r="V797" s="78"/>
      <c r="AD797" s="77"/>
    </row>
    <row r="798" spans="5:30">
      <c r="E798" s="75"/>
      <c r="F798" s="75"/>
      <c r="H798" s="76"/>
      <c r="I798" s="76"/>
      <c r="R798" s="77"/>
      <c r="S798" s="77"/>
      <c r="U798" s="78"/>
      <c r="V798" s="78"/>
      <c r="AD798" s="77"/>
    </row>
    <row r="799" spans="5:30">
      <c r="E799" s="75"/>
      <c r="F799" s="75"/>
      <c r="H799" s="76"/>
      <c r="I799" s="76"/>
      <c r="R799" s="77"/>
      <c r="S799" s="77"/>
      <c r="U799" s="78"/>
      <c r="V799" s="78"/>
      <c r="AD799" s="77"/>
    </row>
    <row r="800" spans="5:30">
      <c r="E800" s="75"/>
      <c r="F800" s="75"/>
      <c r="H800" s="76"/>
      <c r="I800" s="76"/>
      <c r="R800" s="77"/>
      <c r="S800" s="77"/>
      <c r="U800" s="78"/>
      <c r="V800" s="78"/>
      <c r="AD800" s="77"/>
    </row>
    <row r="801" spans="5:40">
      <c r="E801" s="75"/>
      <c r="F801" s="75"/>
      <c r="H801" s="76"/>
      <c r="I801" s="76"/>
      <c r="R801" s="77"/>
      <c r="S801" s="77"/>
      <c r="U801" s="78"/>
      <c r="V801" s="78"/>
      <c r="AD801" s="77"/>
    </row>
    <row r="802" spans="5:40">
      <c r="E802" s="75"/>
      <c r="F802" s="75"/>
      <c r="H802" s="76"/>
      <c r="I802" s="76"/>
      <c r="R802" s="77"/>
      <c r="S802" s="77"/>
      <c r="U802" s="78"/>
      <c r="V802" s="78"/>
      <c r="AD802" s="77"/>
    </row>
    <row r="803" spans="5:40">
      <c r="E803" s="75"/>
      <c r="F803" s="75"/>
      <c r="H803" s="76"/>
      <c r="I803" s="76"/>
      <c r="R803" s="77"/>
      <c r="S803" s="77"/>
      <c r="U803" s="78"/>
      <c r="V803" s="78"/>
      <c r="AD803" s="77"/>
    </row>
    <row r="804" spans="5:40">
      <c r="E804" s="75"/>
      <c r="F804" s="75"/>
      <c r="H804" s="76"/>
      <c r="I804" s="76"/>
      <c r="R804" s="77"/>
      <c r="S804" s="77"/>
      <c r="U804" s="78"/>
      <c r="V804" s="78"/>
      <c r="AD804" s="77"/>
    </row>
    <row r="805" spans="5:40">
      <c r="E805" s="75"/>
      <c r="F805" s="75"/>
      <c r="H805" s="76"/>
      <c r="I805" s="76"/>
      <c r="R805" s="77"/>
      <c r="S805" s="77"/>
      <c r="U805" s="78"/>
      <c r="V805" s="78"/>
      <c r="AD805" s="77"/>
    </row>
    <row r="806" spans="5:40">
      <c r="E806" s="75"/>
      <c r="F806" s="75"/>
      <c r="H806" s="76"/>
      <c r="I806" s="76"/>
      <c r="R806" s="77"/>
      <c r="S806" s="77"/>
      <c r="U806" s="78"/>
      <c r="V806" s="78"/>
      <c r="AD806" s="77"/>
    </row>
    <row r="807" spans="5:40">
      <c r="E807" s="75"/>
      <c r="F807" s="75"/>
      <c r="H807" s="76"/>
      <c r="I807" s="76"/>
      <c r="R807" s="77"/>
      <c r="S807" s="77"/>
      <c r="U807" s="78"/>
      <c r="V807" s="78"/>
      <c r="AD807" s="77"/>
    </row>
    <row r="808" spans="5:40">
      <c r="E808" s="75"/>
      <c r="F808" s="75"/>
      <c r="H808" s="76"/>
      <c r="I808" s="76"/>
      <c r="R808" s="77"/>
      <c r="S808" s="77"/>
      <c r="U808" s="78"/>
      <c r="V808" s="78"/>
      <c r="AD808" s="77"/>
    </row>
    <row r="809" spans="5:40">
      <c r="E809" s="75"/>
      <c r="F809" s="75"/>
      <c r="H809" s="76"/>
      <c r="I809" s="76"/>
      <c r="R809" s="77"/>
      <c r="S809" s="77"/>
      <c r="U809" s="78"/>
      <c r="V809" s="78"/>
      <c r="AD809" s="77"/>
    </row>
    <row r="810" spans="5:40">
      <c r="E810" s="75"/>
      <c r="F810" s="75"/>
      <c r="I810" s="76"/>
      <c r="R810" s="77"/>
      <c r="S810" s="77"/>
      <c r="U810" s="78"/>
      <c r="V810" s="78"/>
      <c r="AD810" s="77"/>
    </row>
    <row r="811" spans="5:40">
      <c r="E811" s="75"/>
      <c r="F811" s="75"/>
      <c r="H811" s="76"/>
      <c r="R811" s="77"/>
      <c r="S811" s="77"/>
      <c r="U811" s="78"/>
      <c r="V811" s="78"/>
      <c r="AD811" s="77"/>
    </row>
    <row r="812" spans="5:40">
      <c r="E812" s="75"/>
      <c r="F812" s="75"/>
      <c r="H812" s="76"/>
      <c r="R812" s="77"/>
      <c r="S812" s="77"/>
      <c r="U812" s="78"/>
      <c r="V812" s="78"/>
      <c r="AD812" s="77"/>
    </row>
    <row r="813" spans="5:40">
      <c r="E813" s="75"/>
      <c r="F813" s="75"/>
      <c r="H813" s="76"/>
      <c r="R813" s="77"/>
      <c r="S813" s="77"/>
      <c r="U813" s="78"/>
      <c r="V813" s="78"/>
      <c r="AD813" s="77"/>
    </row>
    <row r="814" spans="5:40">
      <c r="E814" s="75"/>
      <c r="F814" s="75"/>
      <c r="H814" s="76"/>
      <c r="R814" s="77"/>
      <c r="S814" s="77"/>
      <c r="U814" s="78"/>
      <c r="V814" s="78"/>
      <c r="AD814" s="77"/>
    </row>
    <row r="815" spans="5:40">
      <c r="E815" s="75"/>
      <c r="F815" s="75"/>
      <c r="H815" s="76"/>
      <c r="R815" s="77"/>
      <c r="S815" s="77"/>
      <c r="U815" s="78"/>
      <c r="V815" s="78"/>
      <c r="AD815" s="77"/>
    </row>
    <row r="816" spans="5:40">
      <c r="E816" s="75"/>
      <c r="F816" s="75"/>
      <c r="G816" s="77"/>
      <c r="H816" s="76"/>
      <c r="J816" s="77"/>
      <c r="K816" s="77"/>
      <c r="N816" s="77"/>
      <c r="O816" s="77"/>
      <c r="P816" s="77"/>
      <c r="Q816" s="77"/>
      <c r="R816" s="77"/>
      <c r="S816" s="77"/>
      <c r="T816" s="77"/>
      <c r="U816" s="77"/>
      <c r="V816" s="77"/>
      <c r="AD816" s="77"/>
      <c r="AE816" s="77"/>
      <c r="AF816" s="77"/>
      <c r="AG816" s="77"/>
      <c r="AH816" s="77"/>
      <c r="AJ816" s="77"/>
      <c r="AK816" s="77"/>
      <c r="AL816" s="77"/>
      <c r="AM816" s="77"/>
      <c r="AN816" s="77"/>
    </row>
    <row r="817" spans="5:30">
      <c r="E817" s="75"/>
      <c r="F817" s="75"/>
      <c r="H817" s="76"/>
      <c r="I817" s="76"/>
      <c r="R817" s="77"/>
      <c r="S817" s="77"/>
      <c r="U817" s="78"/>
      <c r="V817" s="78"/>
      <c r="AD817" s="77"/>
    </row>
    <row r="818" spans="5:30">
      <c r="E818" s="75"/>
      <c r="F818" s="75"/>
      <c r="H818" s="76"/>
      <c r="I818" s="76"/>
      <c r="R818" s="77"/>
      <c r="S818" s="77"/>
      <c r="U818" s="78"/>
      <c r="V818" s="78"/>
      <c r="AD818" s="77"/>
    </row>
    <row r="819" spans="5:30">
      <c r="E819" s="75"/>
      <c r="F819" s="75"/>
      <c r="H819" s="76"/>
      <c r="I819" s="76"/>
      <c r="R819" s="77"/>
      <c r="S819" s="77"/>
      <c r="U819" s="78"/>
      <c r="V819" s="78"/>
      <c r="AD819" s="77"/>
    </row>
    <row r="820" spans="5:30">
      <c r="E820" s="75"/>
      <c r="F820" s="75"/>
      <c r="H820" s="76"/>
      <c r="I820" s="76"/>
      <c r="R820" s="77"/>
      <c r="S820" s="77"/>
      <c r="U820" s="78"/>
      <c r="V820" s="78"/>
      <c r="AD820" s="77"/>
    </row>
    <row r="821" spans="5:30">
      <c r="E821" s="75"/>
      <c r="F821" s="75"/>
      <c r="H821" s="76"/>
      <c r="I821" s="76"/>
      <c r="R821" s="77"/>
      <c r="S821" s="77"/>
      <c r="U821" s="78"/>
      <c r="V821" s="78"/>
      <c r="AD821" s="77"/>
    </row>
    <row r="822" spans="5:30">
      <c r="E822" s="75"/>
      <c r="F822" s="75"/>
      <c r="H822" s="76"/>
      <c r="I822" s="76"/>
      <c r="R822" s="77"/>
      <c r="S822" s="77"/>
      <c r="U822" s="78"/>
      <c r="V822" s="78"/>
      <c r="AD822" s="77"/>
    </row>
    <row r="823" spans="5:30">
      <c r="E823" s="75"/>
      <c r="F823" s="75"/>
      <c r="H823" s="76"/>
      <c r="I823" s="76"/>
      <c r="R823" s="77"/>
      <c r="S823" s="77"/>
      <c r="U823" s="78"/>
      <c r="V823" s="78"/>
      <c r="AD823" s="77"/>
    </row>
    <row r="824" spans="5:30">
      <c r="E824" s="75"/>
      <c r="F824" s="75"/>
      <c r="H824" s="76"/>
      <c r="I824" s="76"/>
      <c r="R824" s="77"/>
      <c r="S824" s="77"/>
      <c r="U824" s="78"/>
      <c r="V824" s="78"/>
      <c r="AD824" s="77"/>
    </row>
    <row r="825" spans="5:30">
      <c r="E825" s="75"/>
      <c r="F825" s="75"/>
      <c r="H825" s="76"/>
      <c r="I825" s="76"/>
      <c r="R825" s="77"/>
      <c r="S825" s="77"/>
      <c r="U825" s="78"/>
      <c r="V825" s="78"/>
      <c r="AD825" s="77"/>
    </row>
    <row r="826" spans="5:30">
      <c r="E826" s="75"/>
      <c r="F826" s="75"/>
      <c r="H826" s="76"/>
      <c r="I826" s="76"/>
      <c r="R826" s="77"/>
      <c r="S826" s="77"/>
      <c r="U826" s="78"/>
      <c r="V826" s="78"/>
      <c r="AD826" s="77"/>
    </row>
    <row r="827" spans="5:30">
      <c r="E827" s="75"/>
      <c r="F827" s="75"/>
      <c r="H827" s="76"/>
      <c r="I827" s="76"/>
      <c r="R827" s="77"/>
      <c r="S827" s="77"/>
      <c r="U827" s="78"/>
      <c r="V827" s="78"/>
      <c r="AD827" s="77"/>
    </row>
    <row r="828" spans="5:30">
      <c r="E828" s="75"/>
      <c r="F828" s="75"/>
      <c r="H828" s="76"/>
      <c r="I828" s="76"/>
      <c r="R828" s="77"/>
      <c r="S828" s="77"/>
      <c r="U828" s="78"/>
      <c r="V828" s="78"/>
      <c r="AD828" s="77"/>
    </row>
    <row r="829" spans="5:30">
      <c r="E829" s="75"/>
      <c r="F829" s="75"/>
      <c r="H829" s="76"/>
      <c r="I829" s="76"/>
      <c r="R829" s="77"/>
      <c r="S829" s="77"/>
      <c r="U829" s="78"/>
      <c r="V829" s="78"/>
      <c r="AD829" s="77"/>
    </row>
    <row r="830" spans="5:30">
      <c r="E830" s="75"/>
      <c r="F830" s="75"/>
      <c r="H830" s="76"/>
      <c r="I830" s="76"/>
      <c r="R830" s="77"/>
      <c r="S830" s="77"/>
      <c r="U830" s="78"/>
      <c r="V830" s="78"/>
      <c r="AD830" s="77"/>
    </row>
    <row r="831" spans="5:30">
      <c r="E831" s="75"/>
      <c r="F831" s="75"/>
      <c r="H831" s="76"/>
      <c r="I831" s="76"/>
      <c r="R831" s="77"/>
      <c r="S831" s="77"/>
      <c r="U831" s="78"/>
      <c r="V831" s="78"/>
      <c r="AD831" s="77"/>
    </row>
    <row r="832" spans="5:30">
      <c r="E832" s="75"/>
      <c r="F832" s="75"/>
      <c r="H832" s="76"/>
      <c r="I832" s="76"/>
      <c r="R832" s="77"/>
      <c r="S832" s="77"/>
      <c r="U832" s="78"/>
      <c r="V832" s="78"/>
      <c r="AD832" s="77"/>
    </row>
    <row r="833" spans="5:30">
      <c r="E833" s="75"/>
      <c r="F833" s="75"/>
      <c r="H833" s="76"/>
      <c r="I833" s="76"/>
      <c r="R833" s="77"/>
      <c r="S833" s="77"/>
      <c r="U833" s="78"/>
      <c r="V833" s="78"/>
      <c r="AD833" s="77"/>
    </row>
    <row r="834" spans="5:30">
      <c r="E834" s="75"/>
      <c r="F834" s="75"/>
      <c r="H834" s="76"/>
      <c r="I834" s="76"/>
      <c r="R834" s="77"/>
      <c r="S834" s="77"/>
      <c r="U834" s="78"/>
      <c r="V834" s="78"/>
      <c r="AD834" s="77"/>
    </row>
    <row r="835" spans="5:30">
      <c r="E835" s="75"/>
      <c r="F835" s="75"/>
      <c r="H835" s="76"/>
      <c r="I835" s="76"/>
      <c r="R835" s="77"/>
      <c r="S835" s="77"/>
      <c r="U835" s="78"/>
      <c r="V835" s="78"/>
      <c r="AD835" s="77"/>
    </row>
    <row r="836" spans="5:30">
      <c r="E836" s="75"/>
      <c r="F836" s="75"/>
      <c r="H836" s="76"/>
      <c r="I836" s="76"/>
      <c r="R836" s="77"/>
      <c r="S836" s="77"/>
      <c r="U836" s="78"/>
      <c r="V836" s="78"/>
      <c r="AD836" s="77"/>
    </row>
    <row r="837" spans="5:30">
      <c r="E837" s="75"/>
      <c r="F837" s="75"/>
      <c r="H837" s="76"/>
      <c r="I837" s="76"/>
      <c r="R837" s="77"/>
      <c r="S837" s="77"/>
      <c r="U837" s="78"/>
      <c r="V837" s="78"/>
      <c r="AD837" s="77"/>
    </row>
    <row r="838" spans="5:30">
      <c r="E838" s="75"/>
      <c r="F838" s="75"/>
      <c r="H838" s="76"/>
      <c r="I838" s="76"/>
      <c r="R838" s="77"/>
      <c r="S838" s="77"/>
      <c r="U838" s="78"/>
      <c r="V838" s="78"/>
      <c r="AD838" s="77"/>
    </row>
    <row r="839" spans="5:30">
      <c r="E839" s="75"/>
      <c r="F839" s="75"/>
      <c r="H839" s="76"/>
      <c r="I839" s="76"/>
      <c r="R839" s="77"/>
      <c r="S839" s="77"/>
      <c r="U839" s="78"/>
      <c r="V839" s="78"/>
      <c r="AD839" s="77"/>
    </row>
    <row r="840" spans="5:30">
      <c r="E840" s="75"/>
      <c r="F840" s="75"/>
      <c r="H840" s="76"/>
      <c r="I840" s="76"/>
      <c r="R840" s="77"/>
      <c r="S840" s="77"/>
      <c r="U840" s="78"/>
      <c r="V840" s="78"/>
      <c r="AD840" s="77"/>
    </row>
    <row r="841" spans="5:30">
      <c r="E841" s="75"/>
      <c r="F841" s="75"/>
      <c r="H841" s="76"/>
      <c r="I841" s="76"/>
      <c r="R841" s="77"/>
      <c r="S841" s="77"/>
      <c r="U841" s="78"/>
      <c r="V841" s="78"/>
      <c r="AD841" s="77"/>
    </row>
    <row r="842" spans="5:30">
      <c r="E842" s="75"/>
      <c r="F842" s="75"/>
      <c r="H842" s="76"/>
      <c r="I842" s="76"/>
      <c r="R842" s="77"/>
      <c r="S842" s="77"/>
      <c r="U842" s="78"/>
      <c r="V842" s="78"/>
      <c r="AD842" s="77"/>
    </row>
    <row r="843" spans="5:30">
      <c r="E843" s="75"/>
      <c r="F843" s="75"/>
      <c r="H843" s="76"/>
      <c r="I843" s="76"/>
      <c r="R843" s="77"/>
      <c r="S843" s="77"/>
      <c r="U843" s="78"/>
      <c r="V843" s="78"/>
      <c r="AD843" s="77"/>
    </row>
    <row r="844" spans="5:30">
      <c r="E844" s="75"/>
      <c r="F844" s="75"/>
      <c r="H844" s="76"/>
      <c r="I844" s="76"/>
      <c r="R844" s="77"/>
      <c r="S844" s="77"/>
      <c r="U844" s="78"/>
      <c r="V844" s="78"/>
      <c r="AD844" s="77"/>
    </row>
    <row r="845" spans="5:30">
      <c r="E845" s="75"/>
      <c r="F845" s="75"/>
      <c r="H845" s="76"/>
      <c r="I845" s="76"/>
      <c r="R845" s="77"/>
      <c r="S845" s="77"/>
      <c r="U845" s="78"/>
      <c r="V845" s="78"/>
      <c r="AD845" s="77"/>
    </row>
    <row r="846" spans="5:30">
      <c r="E846" s="75"/>
      <c r="F846" s="75"/>
      <c r="H846" s="76"/>
      <c r="I846" s="76"/>
      <c r="R846" s="77"/>
      <c r="S846" s="77"/>
      <c r="U846" s="78"/>
      <c r="V846" s="78"/>
      <c r="AD846" s="77"/>
    </row>
    <row r="847" spans="5:30">
      <c r="E847" s="75"/>
      <c r="F847" s="75"/>
      <c r="H847" s="76"/>
      <c r="I847" s="76"/>
      <c r="R847" s="77"/>
      <c r="S847" s="77"/>
      <c r="U847" s="78"/>
      <c r="V847" s="78"/>
      <c r="AD847" s="77"/>
    </row>
    <row r="848" spans="5:30">
      <c r="E848" s="75"/>
      <c r="F848" s="75"/>
      <c r="H848" s="76"/>
      <c r="I848" s="76"/>
      <c r="R848" s="77"/>
      <c r="S848" s="77"/>
      <c r="U848" s="78"/>
      <c r="V848" s="78"/>
      <c r="AD848" s="77"/>
    </row>
    <row r="849" spans="5:30">
      <c r="E849" s="75"/>
      <c r="F849" s="75"/>
      <c r="H849" s="76"/>
      <c r="I849" s="76"/>
      <c r="R849" s="77"/>
      <c r="S849" s="77"/>
      <c r="U849" s="78"/>
      <c r="V849" s="78"/>
      <c r="AD849" s="77"/>
    </row>
    <row r="850" spans="5:30">
      <c r="E850" s="75"/>
      <c r="F850" s="75"/>
      <c r="H850" s="76"/>
      <c r="I850" s="76"/>
      <c r="R850" s="77"/>
      <c r="S850" s="77"/>
      <c r="U850" s="78"/>
      <c r="V850" s="78"/>
      <c r="AD850" s="77"/>
    </row>
    <row r="851" spans="5:30">
      <c r="E851" s="75"/>
      <c r="F851" s="75"/>
      <c r="H851" s="76"/>
      <c r="I851" s="76"/>
      <c r="R851" s="77"/>
      <c r="S851" s="77"/>
      <c r="U851" s="78"/>
      <c r="V851" s="78"/>
      <c r="AD851" s="77"/>
    </row>
    <row r="852" spans="5:30">
      <c r="E852" s="75"/>
      <c r="F852" s="75"/>
      <c r="H852" s="76"/>
      <c r="I852" s="76"/>
      <c r="R852" s="77"/>
      <c r="S852" s="77"/>
      <c r="U852" s="78"/>
      <c r="V852" s="78"/>
      <c r="AD852" s="77"/>
    </row>
    <row r="853" spans="5:30">
      <c r="E853" s="75"/>
      <c r="F853" s="75"/>
      <c r="H853" s="76"/>
      <c r="I853" s="76"/>
      <c r="R853" s="77"/>
      <c r="S853" s="77"/>
      <c r="U853" s="78"/>
      <c r="V853" s="78"/>
      <c r="AD853" s="77"/>
    </row>
    <row r="854" spans="5:30">
      <c r="E854" s="75"/>
      <c r="F854" s="75"/>
      <c r="H854" s="76"/>
      <c r="I854" s="76"/>
      <c r="R854" s="77"/>
      <c r="S854" s="77"/>
      <c r="U854" s="78"/>
      <c r="V854" s="78"/>
      <c r="AD854" s="77"/>
    </row>
    <row r="855" spans="5:30">
      <c r="E855" s="75"/>
      <c r="F855" s="75"/>
      <c r="H855" s="76"/>
      <c r="I855" s="76"/>
      <c r="R855" s="77"/>
      <c r="S855" s="77"/>
      <c r="U855" s="78"/>
      <c r="V855" s="78"/>
      <c r="AD855" s="77"/>
    </row>
    <row r="856" spans="5:30">
      <c r="E856" s="75"/>
      <c r="F856" s="75"/>
      <c r="H856" s="76"/>
      <c r="I856" s="76"/>
      <c r="R856" s="77"/>
      <c r="S856" s="77"/>
      <c r="U856" s="78"/>
      <c r="V856" s="78"/>
      <c r="AD856" s="77"/>
    </row>
    <row r="857" spans="5:30">
      <c r="E857" s="75"/>
      <c r="F857" s="75"/>
      <c r="H857" s="76"/>
      <c r="I857" s="76"/>
      <c r="R857" s="77"/>
      <c r="S857" s="77"/>
      <c r="U857" s="78"/>
      <c r="V857" s="78"/>
      <c r="AD857" s="77"/>
    </row>
    <row r="858" spans="5:30">
      <c r="E858" s="75"/>
      <c r="F858" s="75"/>
      <c r="H858" s="76"/>
      <c r="I858" s="76"/>
      <c r="R858" s="77"/>
      <c r="S858" s="77"/>
      <c r="U858" s="78"/>
      <c r="V858" s="78"/>
      <c r="AD858" s="77"/>
    </row>
    <row r="859" spans="5:30">
      <c r="E859" s="75"/>
      <c r="F859" s="75"/>
      <c r="H859" s="76"/>
      <c r="I859" s="76"/>
      <c r="R859" s="77"/>
      <c r="S859" s="77"/>
      <c r="U859" s="78"/>
      <c r="V859" s="78"/>
      <c r="AD859" s="77"/>
    </row>
    <row r="860" spans="5:30">
      <c r="E860" s="75"/>
      <c r="F860" s="75"/>
      <c r="H860" s="76"/>
      <c r="I860" s="76"/>
      <c r="R860" s="77"/>
      <c r="S860" s="77"/>
      <c r="U860" s="78"/>
      <c r="V860" s="78"/>
      <c r="AD860" s="77"/>
    </row>
    <row r="861" spans="5:30">
      <c r="E861" s="75"/>
      <c r="F861" s="75"/>
      <c r="H861" s="76"/>
      <c r="I861" s="76"/>
      <c r="R861" s="77"/>
      <c r="S861" s="77"/>
      <c r="U861" s="78"/>
      <c r="V861" s="78"/>
      <c r="AD861" s="77"/>
    </row>
    <row r="862" spans="5:30">
      <c r="E862" s="75"/>
      <c r="F862" s="75"/>
      <c r="H862" s="76"/>
      <c r="I862" s="76"/>
      <c r="R862" s="77"/>
      <c r="S862" s="77"/>
      <c r="U862" s="78"/>
      <c r="V862" s="78"/>
      <c r="AD862" s="77"/>
    </row>
    <row r="863" spans="5:30">
      <c r="E863" s="75"/>
      <c r="F863" s="75"/>
      <c r="H863" s="76"/>
      <c r="I863" s="76"/>
      <c r="R863" s="77"/>
      <c r="S863" s="77"/>
      <c r="U863" s="78"/>
      <c r="V863" s="78"/>
      <c r="AD863" s="77"/>
    </row>
    <row r="864" spans="5:30">
      <c r="E864" s="75"/>
      <c r="F864" s="75"/>
      <c r="H864" s="76"/>
      <c r="I864" s="76"/>
      <c r="R864" s="77"/>
      <c r="S864" s="77"/>
      <c r="U864" s="78"/>
      <c r="V864" s="78"/>
      <c r="AD864" s="77"/>
    </row>
    <row r="865" spans="5:30">
      <c r="E865" s="75"/>
      <c r="F865" s="75"/>
      <c r="H865" s="76"/>
      <c r="I865" s="76"/>
      <c r="R865" s="77"/>
      <c r="S865" s="77"/>
      <c r="U865" s="78"/>
      <c r="V865" s="78"/>
      <c r="AD865" s="77"/>
    </row>
    <row r="866" spans="5:30">
      <c r="E866" s="75"/>
      <c r="F866" s="75"/>
      <c r="H866" s="76"/>
      <c r="I866" s="76"/>
      <c r="R866" s="77"/>
      <c r="S866" s="77"/>
      <c r="U866" s="78"/>
      <c r="V866" s="78"/>
      <c r="AD866" s="77"/>
    </row>
    <row r="867" spans="5:30">
      <c r="E867" s="75"/>
      <c r="F867" s="75"/>
      <c r="H867" s="76"/>
      <c r="I867" s="76"/>
      <c r="R867" s="77"/>
      <c r="S867" s="77"/>
      <c r="U867" s="78"/>
      <c r="V867" s="78"/>
      <c r="AD867" s="77"/>
    </row>
    <row r="868" spans="5:30">
      <c r="E868" s="75"/>
      <c r="F868" s="75"/>
      <c r="H868" s="76"/>
      <c r="I868" s="76"/>
      <c r="R868" s="77"/>
      <c r="S868" s="77"/>
      <c r="U868" s="78"/>
      <c r="V868" s="78"/>
      <c r="AD868" s="77"/>
    </row>
    <row r="869" spans="5:30">
      <c r="E869" s="75"/>
      <c r="F869" s="75"/>
      <c r="H869" s="76"/>
      <c r="I869" s="76"/>
      <c r="R869" s="77"/>
      <c r="S869" s="77"/>
      <c r="U869" s="78"/>
      <c r="V869" s="78"/>
      <c r="AD869" s="77"/>
    </row>
    <row r="870" spans="5:30">
      <c r="E870" s="75"/>
      <c r="F870" s="75"/>
      <c r="H870" s="76"/>
      <c r="I870" s="76"/>
      <c r="R870" s="77"/>
      <c r="S870" s="77"/>
      <c r="U870" s="78"/>
      <c r="V870" s="78"/>
      <c r="AD870" s="77"/>
    </row>
    <row r="871" spans="5:30">
      <c r="E871" s="75"/>
      <c r="F871" s="75"/>
      <c r="H871" s="76"/>
      <c r="I871" s="76"/>
      <c r="R871" s="77"/>
      <c r="S871" s="77"/>
      <c r="U871" s="78"/>
      <c r="V871" s="78"/>
      <c r="AD871" s="77"/>
    </row>
    <row r="872" spans="5:30">
      <c r="E872" s="75"/>
      <c r="F872" s="75"/>
      <c r="H872" s="76"/>
      <c r="I872" s="76"/>
      <c r="R872" s="77"/>
      <c r="S872" s="77"/>
      <c r="U872" s="78"/>
      <c r="V872" s="78"/>
      <c r="AD872" s="77"/>
    </row>
    <row r="873" spans="5:30">
      <c r="E873" s="75"/>
      <c r="F873" s="75"/>
      <c r="H873" s="76"/>
      <c r="I873" s="76"/>
      <c r="R873" s="77"/>
      <c r="S873" s="77"/>
      <c r="U873" s="78"/>
      <c r="V873" s="78"/>
      <c r="AD873" s="77"/>
    </row>
    <row r="874" spans="5:30">
      <c r="E874" s="75"/>
      <c r="F874" s="75"/>
      <c r="H874" s="76"/>
      <c r="I874" s="76"/>
      <c r="R874" s="77"/>
      <c r="S874" s="77"/>
      <c r="U874" s="78"/>
      <c r="V874" s="78"/>
      <c r="AD874" s="77"/>
    </row>
    <row r="875" spans="5:30">
      <c r="E875" s="75"/>
      <c r="F875" s="75"/>
      <c r="H875" s="76"/>
      <c r="I875" s="76"/>
      <c r="R875" s="77"/>
      <c r="S875" s="77"/>
      <c r="U875" s="78"/>
      <c r="V875" s="78"/>
      <c r="AD875" s="77"/>
    </row>
    <row r="876" spans="5:30">
      <c r="E876" s="75"/>
      <c r="F876" s="75"/>
      <c r="H876" s="76"/>
      <c r="I876" s="76"/>
      <c r="R876" s="77"/>
      <c r="S876" s="77"/>
      <c r="U876" s="78"/>
      <c r="V876" s="78"/>
      <c r="AD876" s="77"/>
    </row>
    <row r="877" spans="5:30">
      <c r="E877" s="75"/>
      <c r="F877" s="75"/>
      <c r="H877" s="76"/>
      <c r="I877" s="76"/>
      <c r="R877" s="77"/>
      <c r="S877" s="77"/>
      <c r="U877" s="78"/>
      <c r="V877" s="78"/>
      <c r="AD877" s="77"/>
    </row>
    <row r="878" spans="5:30">
      <c r="E878" s="75"/>
      <c r="F878" s="75"/>
      <c r="H878" s="76"/>
      <c r="I878" s="76"/>
      <c r="R878" s="77"/>
      <c r="S878" s="77"/>
      <c r="U878" s="78"/>
      <c r="V878" s="78"/>
      <c r="AD878" s="77"/>
    </row>
    <row r="879" spans="5:30">
      <c r="E879" s="75"/>
      <c r="F879" s="75"/>
      <c r="H879" s="76"/>
      <c r="I879" s="76"/>
      <c r="R879" s="77"/>
      <c r="S879" s="77"/>
      <c r="U879" s="78"/>
      <c r="V879" s="78"/>
      <c r="AD879" s="77"/>
    </row>
    <row r="880" spans="5:30">
      <c r="E880" s="75"/>
      <c r="F880" s="75"/>
      <c r="H880" s="76"/>
      <c r="I880" s="76"/>
      <c r="R880" s="77"/>
      <c r="S880" s="77"/>
      <c r="U880" s="78"/>
      <c r="V880" s="78"/>
      <c r="AD880" s="77"/>
    </row>
    <row r="881" spans="5:30">
      <c r="E881" s="75"/>
      <c r="F881" s="75"/>
      <c r="H881" s="76"/>
      <c r="I881" s="76"/>
      <c r="R881" s="77"/>
      <c r="S881" s="77"/>
      <c r="U881" s="78"/>
      <c r="V881" s="78"/>
      <c r="AD881" s="77"/>
    </row>
    <row r="882" spans="5:30">
      <c r="E882" s="75"/>
      <c r="F882" s="75"/>
      <c r="H882" s="76"/>
      <c r="I882" s="76"/>
      <c r="R882" s="77"/>
      <c r="S882" s="77"/>
      <c r="U882" s="78"/>
      <c r="V882" s="78"/>
      <c r="AD882" s="77"/>
    </row>
    <row r="883" spans="5:30">
      <c r="E883" s="75"/>
      <c r="F883" s="75"/>
      <c r="H883" s="76"/>
      <c r="I883" s="76"/>
      <c r="R883" s="77"/>
      <c r="S883" s="77"/>
      <c r="U883" s="78"/>
      <c r="V883" s="78"/>
      <c r="AD883" s="77"/>
    </row>
    <row r="884" spans="5:30">
      <c r="E884" s="75"/>
      <c r="F884" s="75"/>
      <c r="H884" s="76"/>
      <c r="I884" s="76"/>
      <c r="R884" s="77"/>
      <c r="S884" s="77"/>
      <c r="U884" s="78"/>
      <c r="V884" s="78"/>
      <c r="AD884" s="77"/>
    </row>
    <row r="885" spans="5:30">
      <c r="E885" s="75"/>
      <c r="F885" s="75"/>
      <c r="H885" s="76"/>
      <c r="I885" s="76"/>
      <c r="R885" s="77"/>
      <c r="S885" s="77"/>
      <c r="U885" s="78"/>
      <c r="V885" s="78"/>
      <c r="AD885" s="77"/>
    </row>
    <row r="886" spans="5:30">
      <c r="E886" s="75"/>
      <c r="F886" s="75"/>
      <c r="H886" s="76"/>
      <c r="I886" s="76"/>
      <c r="R886" s="77"/>
      <c r="S886" s="77"/>
      <c r="U886" s="78"/>
      <c r="V886" s="78"/>
      <c r="AD886" s="77"/>
    </row>
    <row r="887" spans="5:30">
      <c r="E887" s="75"/>
      <c r="F887" s="75"/>
      <c r="H887" s="76"/>
      <c r="I887" s="76"/>
      <c r="R887" s="77"/>
      <c r="S887" s="77"/>
      <c r="U887" s="78"/>
      <c r="V887" s="78"/>
      <c r="AD887" s="77"/>
    </row>
    <row r="888" spans="5:30">
      <c r="E888" s="75"/>
      <c r="F888" s="75"/>
      <c r="H888" s="76"/>
      <c r="I888" s="76"/>
      <c r="R888" s="77"/>
      <c r="S888" s="77"/>
      <c r="U888" s="78"/>
      <c r="V888" s="78"/>
      <c r="AD888" s="77"/>
    </row>
    <row r="889" spans="5:30">
      <c r="E889" s="75"/>
      <c r="F889" s="75"/>
      <c r="H889" s="76"/>
      <c r="I889" s="76"/>
      <c r="R889" s="77"/>
      <c r="S889" s="77"/>
      <c r="U889" s="78"/>
      <c r="V889" s="78"/>
      <c r="AD889" s="77"/>
    </row>
    <row r="890" spans="5:30">
      <c r="E890" s="75"/>
      <c r="F890" s="75"/>
      <c r="H890" s="76"/>
      <c r="I890" s="76"/>
      <c r="R890" s="77"/>
      <c r="S890" s="77"/>
      <c r="U890" s="78"/>
      <c r="V890" s="78"/>
      <c r="AD890" s="77"/>
    </row>
    <row r="891" spans="5:30">
      <c r="E891" s="75"/>
      <c r="F891" s="75"/>
      <c r="H891" s="76"/>
      <c r="I891" s="76"/>
      <c r="R891" s="77"/>
      <c r="S891" s="77"/>
      <c r="U891" s="78"/>
      <c r="V891" s="78"/>
      <c r="AD891" s="77"/>
    </row>
    <row r="892" spans="5:30">
      <c r="E892" s="75"/>
      <c r="F892" s="75"/>
      <c r="H892" s="76"/>
      <c r="I892" s="76"/>
      <c r="R892" s="77"/>
      <c r="S892" s="77"/>
      <c r="U892" s="78"/>
      <c r="V892" s="78"/>
      <c r="AD892" s="77"/>
    </row>
    <row r="893" spans="5:30">
      <c r="E893" s="75"/>
      <c r="F893" s="75"/>
      <c r="H893" s="76"/>
      <c r="I893" s="76"/>
      <c r="R893" s="77"/>
      <c r="S893" s="77"/>
      <c r="U893" s="78"/>
      <c r="V893" s="78"/>
      <c r="AD893" s="77"/>
    </row>
    <row r="894" spans="5:30">
      <c r="E894" s="75"/>
      <c r="F894" s="75"/>
      <c r="H894" s="76"/>
      <c r="I894" s="76"/>
      <c r="R894" s="77"/>
      <c r="S894" s="77"/>
      <c r="U894" s="78"/>
      <c r="V894" s="78"/>
      <c r="AD894" s="77"/>
    </row>
    <row r="895" spans="5:30">
      <c r="E895" s="75"/>
      <c r="F895" s="75"/>
      <c r="H895" s="76"/>
      <c r="I895" s="76"/>
      <c r="R895" s="77"/>
      <c r="S895" s="77"/>
      <c r="U895" s="78"/>
      <c r="V895" s="78"/>
      <c r="AD895" s="77"/>
    </row>
    <row r="896" spans="5:30">
      <c r="E896" s="75"/>
      <c r="F896" s="75"/>
      <c r="H896" s="76"/>
      <c r="I896" s="76"/>
      <c r="R896" s="77"/>
      <c r="S896" s="77"/>
      <c r="U896" s="78"/>
      <c r="V896" s="78"/>
      <c r="AD896" s="77"/>
    </row>
    <row r="897" spans="5:40">
      <c r="E897" s="75"/>
      <c r="F897" s="75"/>
      <c r="H897" s="76"/>
      <c r="I897" s="76"/>
      <c r="R897" s="77"/>
      <c r="S897" s="77"/>
      <c r="U897" s="78"/>
      <c r="V897" s="78"/>
      <c r="AD897" s="77"/>
    </row>
    <row r="898" spans="5:40">
      <c r="E898" s="75"/>
      <c r="F898" s="75"/>
      <c r="H898" s="76"/>
      <c r="I898" s="76"/>
      <c r="R898" s="77"/>
      <c r="S898" s="77"/>
      <c r="U898" s="78"/>
      <c r="V898" s="78"/>
      <c r="AD898" s="77"/>
    </row>
    <row r="899" spans="5:40">
      <c r="E899" s="75"/>
      <c r="F899" s="75"/>
      <c r="H899" s="76"/>
      <c r="I899" s="76"/>
      <c r="R899" s="77"/>
      <c r="S899" s="77"/>
      <c r="U899" s="78"/>
      <c r="V899" s="78"/>
      <c r="AD899" s="77"/>
    </row>
    <row r="900" spans="5:40">
      <c r="E900" s="75"/>
      <c r="F900" s="75"/>
      <c r="G900" s="77"/>
      <c r="H900" s="76"/>
      <c r="I900" s="76"/>
      <c r="J900" s="77"/>
      <c r="K900" s="77"/>
      <c r="N900" s="77"/>
      <c r="O900" s="77"/>
      <c r="P900" s="77"/>
      <c r="Q900" s="77"/>
      <c r="R900" s="77"/>
      <c r="S900" s="77"/>
      <c r="T900" s="77"/>
      <c r="U900" s="77"/>
      <c r="V900" s="77"/>
      <c r="AD900" s="77"/>
      <c r="AE900" s="77"/>
      <c r="AF900" s="77"/>
      <c r="AG900" s="77"/>
      <c r="AH900" s="77"/>
      <c r="AJ900" s="77"/>
      <c r="AK900" s="77"/>
      <c r="AL900" s="77"/>
      <c r="AM900" s="77"/>
      <c r="AN900" s="77"/>
    </row>
    <row r="901" spans="5:40">
      <c r="E901" s="75"/>
      <c r="F901" s="75"/>
      <c r="H901" s="76"/>
      <c r="I901" s="76"/>
      <c r="R901" s="77"/>
      <c r="S901" s="77"/>
      <c r="U901" s="78"/>
      <c r="V901" s="78"/>
      <c r="AD901" s="77"/>
    </row>
    <row r="902" spans="5:40">
      <c r="E902" s="75"/>
      <c r="F902" s="75"/>
      <c r="H902" s="76"/>
      <c r="I902" s="76"/>
      <c r="R902" s="77"/>
      <c r="S902" s="77"/>
      <c r="U902" s="78"/>
      <c r="V902" s="78"/>
      <c r="AD902" s="77"/>
    </row>
    <row r="903" spans="5:40">
      <c r="E903" s="75"/>
      <c r="F903" s="75"/>
      <c r="H903" s="76"/>
      <c r="I903" s="76"/>
      <c r="R903" s="77"/>
      <c r="S903" s="77"/>
      <c r="U903" s="78"/>
      <c r="V903" s="78"/>
      <c r="AD903" s="77"/>
    </row>
    <row r="904" spans="5:40">
      <c r="E904" s="75"/>
      <c r="F904" s="75"/>
      <c r="H904" s="76"/>
      <c r="I904" s="76"/>
      <c r="R904" s="77"/>
      <c r="S904" s="77"/>
      <c r="U904" s="78"/>
      <c r="V904" s="78"/>
      <c r="AD904" s="77"/>
    </row>
    <row r="905" spans="5:40">
      <c r="E905" s="75"/>
      <c r="F905" s="75"/>
      <c r="H905" s="76"/>
      <c r="I905" s="76"/>
      <c r="R905" s="77"/>
      <c r="S905" s="77"/>
      <c r="U905" s="78"/>
      <c r="V905" s="78"/>
      <c r="AD905" s="77"/>
    </row>
    <row r="906" spans="5:40">
      <c r="E906" s="75"/>
      <c r="F906" s="75"/>
      <c r="H906" s="76"/>
      <c r="I906" s="76"/>
      <c r="R906" s="77"/>
      <c r="S906" s="77"/>
      <c r="U906" s="78"/>
      <c r="V906" s="78"/>
      <c r="AD906" s="77"/>
    </row>
    <row r="907" spans="5:40">
      <c r="E907" s="75"/>
      <c r="F907" s="75"/>
      <c r="H907" s="76"/>
      <c r="I907" s="76"/>
      <c r="R907" s="77"/>
      <c r="S907" s="77"/>
      <c r="U907" s="78"/>
      <c r="V907" s="78"/>
      <c r="AD907" s="77"/>
    </row>
    <row r="908" spans="5:40">
      <c r="E908" s="75"/>
      <c r="F908" s="75"/>
      <c r="H908" s="76"/>
      <c r="I908" s="76"/>
      <c r="R908" s="77"/>
      <c r="S908" s="77"/>
      <c r="U908" s="78"/>
      <c r="V908" s="78"/>
      <c r="AD908" s="77"/>
    </row>
    <row r="909" spans="5:40">
      <c r="E909" s="75"/>
      <c r="F909" s="75"/>
      <c r="H909" s="76"/>
      <c r="I909" s="76"/>
      <c r="R909" s="77"/>
      <c r="S909" s="77"/>
      <c r="U909" s="78"/>
      <c r="V909" s="78"/>
      <c r="AD909" s="77"/>
    </row>
    <row r="910" spans="5:40">
      <c r="E910" s="75"/>
      <c r="F910" s="75"/>
      <c r="H910" s="76"/>
      <c r="I910" s="76"/>
      <c r="R910" s="77"/>
      <c r="S910" s="77"/>
      <c r="U910" s="78"/>
      <c r="V910" s="78"/>
      <c r="AD910" s="77"/>
    </row>
    <row r="911" spans="5:40">
      <c r="E911" s="75"/>
      <c r="F911" s="75"/>
      <c r="H911" s="76"/>
      <c r="I911" s="76"/>
      <c r="R911" s="77"/>
      <c r="S911" s="77"/>
      <c r="U911" s="78"/>
      <c r="V911" s="78"/>
      <c r="AD911" s="77"/>
    </row>
    <row r="912" spans="5:40">
      <c r="E912" s="75"/>
      <c r="F912" s="75"/>
      <c r="H912" s="76"/>
      <c r="I912" s="76"/>
      <c r="R912" s="77"/>
      <c r="S912" s="77"/>
      <c r="U912" s="78"/>
      <c r="V912" s="78"/>
      <c r="AD912" s="77"/>
    </row>
    <row r="913" spans="5:30">
      <c r="E913" s="75"/>
      <c r="F913" s="75"/>
      <c r="H913" s="76"/>
      <c r="I913" s="76"/>
      <c r="R913" s="77"/>
      <c r="S913" s="77"/>
      <c r="U913" s="78"/>
      <c r="V913" s="78"/>
      <c r="AD913" s="77"/>
    </row>
    <row r="914" spans="5:30">
      <c r="E914" s="75"/>
      <c r="F914" s="75"/>
      <c r="H914" s="76"/>
      <c r="I914" s="76"/>
      <c r="R914" s="77"/>
      <c r="S914" s="77"/>
      <c r="U914" s="78"/>
      <c r="V914" s="78"/>
      <c r="AD914" s="77"/>
    </row>
    <row r="915" spans="5:30">
      <c r="E915" s="75"/>
      <c r="F915" s="75"/>
      <c r="H915" s="76"/>
      <c r="I915" s="76"/>
      <c r="R915" s="77"/>
      <c r="S915" s="77"/>
      <c r="U915" s="78"/>
      <c r="V915" s="78"/>
      <c r="AD915" s="77"/>
    </row>
    <row r="916" spans="5:30">
      <c r="E916" s="75"/>
      <c r="F916" s="75"/>
      <c r="H916" s="76"/>
      <c r="I916" s="76"/>
      <c r="R916" s="77"/>
      <c r="S916" s="77"/>
      <c r="U916" s="78"/>
      <c r="V916" s="78"/>
      <c r="AD916" s="77"/>
    </row>
    <row r="917" spans="5:30">
      <c r="E917" s="75"/>
      <c r="F917" s="75"/>
      <c r="H917" s="76"/>
      <c r="I917" s="76"/>
      <c r="R917" s="77"/>
      <c r="S917" s="77"/>
      <c r="U917" s="78"/>
      <c r="V917" s="78"/>
      <c r="AD917" s="77"/>
    </row>
    <row r="918" spans="5:30">
      <c r="E918" s="75"/>
      <c r="F918" s="75"/>
      <c r="H918" s="76"/>
      <c r="I918" s="76"/>
      <c r="R918" s="77"/>
      <c r="S918" s="77"/>
      <c r="U918" s="78"/>
      <c r="V918" s="78"/>
      <c r="AD918" s="77"/>
    </row>
    <row r="919" spans="5:30">
      <c r="E919" s="75"/>
      <c r="F919" s="75"/>
      <c r="H919" s="76"/>
      <c r="I919" s="76"/>
      <c r="R919" s="77"/>
      <c r="S919" s="77"/>
      <c r="U919" s="78"/>
      <c r="V919" s="78"/>
      <c r="AD919" s="77"/>
    </row>
    <row r="920" spans="5:30">
      <c r="E920" s="75"/>
      <c r="F920" s="75"/>
      <c r="H920" s="76"/>
      <c r="I920" s="76"/>
      <c r="R920" s="77"/>
      <c r="S920" s="77"/>
      <c r="U920" s="78"/>
      <c r="V920" s="78"/>
      <c r="AD920" s="77"/>
    </row>
    <row r="921" spans="5:30">
      <c r="E921" s="75"/>
      <c r="F921" s="75"/>
      <c r="H921" s="76"/>
      <c r="I921" s="76"/>
      <c r="R921" s="77"/>
      <c r="S921" s="77"/>
      <c r="U921" s="78"/>
      <c r="V921" s="78"/>
      <c r="AD921" s="77"/>
    </row>
    <row r="922" spans="5:30">
      <c r="E922" s="75"/>
      <c r="F922" s="75"/>
      <c r="H922" s="76"/>
      <c r="I922" s="76"/>
      <c r="R922" s="77"/>
      <c r="S922" s="77"/>
      <c r="U922" s="78"/>
      <c r="V922" s="78"/>
      <c r="AD922" s="77"/>
    </row>
    <row r="923" spans="5:30">
      <c r="E923" s="75"/>
      <c r="F923" s="75"/>
      <c r="H923" s="76"/>
      <c r="I923" s="76"/>
      <c r="R923" s="77"/>
      <c r="S923" s="77"/>
      <c r="U923" s="78"/>
      <c r="V923" s="78"/>
      <c r="AD923" s="77"/>
    </row>
    <row r="924" spans="5:30">
      <c r="E924" s="75"/>
      <c r="F924" s="75"/>
      <c r="H924" s="76"/>
      <c r="I924" s="76"/>
      <c r="R924" s="77"/>
      <c r="S924" s="77"/>
      <c r="U924" s="78"/>
      <c r="V924" s="78"/>
      <c r="AD924" s="77"/>
    </row>
    <row r="925" spans="5:30">
      <c r="E925" s="75"/>
      <c r="F925" s="75"/>
      <c r="H925" s="76"/>
      <c r="I925" s="76"/>
      <c r="R925" s="77"/>
      <c r="S925" s="77"/>
      <c r="U925" s="78"/>
      <c r="V925" s="78"/>
      <c r="AD925" s="77"/>
    </row>
    <row r="926" spans="5:30">
      <c r="E926" s="75"/>
      <c r="F926" s="75"/>
      <c r="H926" s="76"/>
      <c r="I926" s="76"/>
      <c r="R926" s="77"/>
      <c r="S926" s="77"/>
      <c r="U926" s="78"/>
      <c r="V926" s="78"/>
      <c r="AD926" s="77"/>
    </row>
    <row r="927" spans="5:30">
      <c r="E927" s="75"/>
      <c r="F927" s="75"/>
      <c r="H927" s="76"/>
      <c r="I927" s="76"/>
      <c r="R927" s="77"/>
      <c r="S927" s="77"/>
      <c r="U927" s="78"/>
      <c r="V927" s="78"/>
      <c r="AD927" s="77"/>
    </row>
    <row r="928" spans="5:30">
      <c r="E928" s="75"/>
      <c r="F928" s="75"/>
      <c r="H928" s="76"/>
      <c r="I928" s="76"/>
      <c r="R928" s="77"/>
      <c r="S928" s="77"/>
      <c r="U928" s="78"/>
      <c r="V928" s="78"/>
      <c r="AD928" s="77"/>
    </row>
    <row r="929" spans="5:30">
      <c r="E929" s="75"/>
      <c r="F929" s="75"/>
      <c r="H929" s="76"/>
      <c r="I929" s="76"/>
      <c r="R929" s="77"/>
      <c r="S929" s="77"/>
      <c r="U929" s="78"/>
      <c r="V929" s="78"/>
      <c r="AD929" s="77"/>
    </row>
    <row r="930" spans="5:30">
      <c r="E930" s="75"/>
      <c r="F930" s="75"/>
      <c r="H930" s="76"/>
      <c r="I930" s="76"/>
      <c r="R930" s="77"/>
      <c r="S930" s="77"/>
      <c r="U930" s="78"/>
      <c r="V930" s="78"/>
      <c r="AD930" s="77"/>
    </row>
    <row r="931" spans="5:30">
      <c r="E931" s="75"/>
      <c r="F931" s="75"/>
      <c r="H931" s="76"/>
      <c r="I931" s="76"/>
      <c r="R931" s="77"/>
      <c r="S931" s="77"/>
      <c r="U931" s="78"/>
      <c r="V931" s="78"/>
      <c r="AD931" s="77"/>
    </row>
    <row r="932" spans="5:30">
      <c r="E932" s="75"/>
      <c r="F932" s="75"/>
      <c r="H932" s="76"/>
      <c r="I932" s="76"/>
      <c r="R932" s="77"/>
      <c r="S932" s="77"/>
      <c r="U932" s="78"/>
      <c r="V932" s="78"/>
      <c r="AD932" s="77"/>
    </row>
    <row r="933" spans="5:30">
      <c r="E933" s="75"/>
      <c r="F933" s="75"/>
      <c r="H933" s="76"/>
      <c r="I933" s="76"/>
      <c r="R933" s="77"/>
      <c r="S933" s="77"/>
      <c r="U933" s="78"/>
      <c r="V933" s="78"/>
      <c r="AD933" s="77"/>
    </row>
    <row r="934" spans="5:30">
      <c r="E934" s="75"/>
      <c r="F934" s="75"/>
      <c r="H934" s="76"/>
      <c r="I934" s="76"/>
      <c r="R934" s="77"/>
      <c r="S934" s="77"/>
      <c r="U934" s="78"/>
      <c r="V934" s="78"/>
      <c r="AD934" s="77"/>
    </row>
    <row r="935" spans="5:30">
      <c r="E935" s="75"/>
      <c r="F935" s="75"/>
      <c r="H935" s="76"/>
      <c r="I935" s="76"/>
      <c r="R935" s="77"/>
      <c r="S935" s="77"/>
      <c r="U935" s="78"/>
      <c r="V935" s="78"/>
      <c r="AD935" s="77"/>
    </row>
    <row r="936" spans="5:30">
      <c r="E936" s="75"/>
      <c r="F936" s="75"/>
      <c r="H936" s="76"/>
      <c r="I936" s="76"/>
      <c r="R936" s="77"/>
      <c r="S936" s="77"/>
      <c r="U936" s="78"/>
      <c r="V936" s="78"/>
      <c r="AD936" s="77"/>
    </row>
    <row r="937" spans="5:30">
      <c r="E937" s="75"/>
      <c r="F937" s="75"/>
      <c r="H937" s="76"/>
      <c r="I937" s="76"/>
      <c r="R937" s="77"/>
      <c r="S937" s="77"/>
      <c r="U937" s="78"/>
      <c r="V937" s="78"/>
      <c r="AD937" s="77"/>
    </row>
    <row r="938" spans="5:30">
      <c r="E938" s="75"/>
      <c r="F938" s="75"/>
      <c r="H938" s="76"/>
      <c r="I938" s="76"/>
      <c r="R938" s="77"/>
      <c r="S938" s="77"/>
      <c r="U938" s="78"/>
      <c r="V938" s="78"/>
      <c r="AD938" s="77"/>
    </row>
    <row r="939" spans="5:30">
      <c r="E939" s="75"/>
      <c r="F939" s="75"/>
      <c r="H939" s="76"/>
      <c r="I939" s="76"/>
      <c r="R939" s="77"/>
      <c r="S939" s="77"/>
      <c r="U939" s="78"/>
      <c r="V939" s="78"/>
      <c r="AD939" s="77"/>
    </row>
    <row r="940" spans="5:30">
      <c r="E940" s="75"/>
      <c r="F940" s="75"/>
      <c r="H940" s="76"/>
      <c r="I940" s="76"/>
      <c r="R940" s="77"/>
      <c r="S940" s="77"/>
      <c r="U940" s="78"/>
      <c r="V940" s="78"/>
      <c r="AD940" s="77"/>
    </row>
    <row r="941" spans="5:30">
      <c r="E941" s="75"/>
      <c r="F941" s="75"/>
      <c r="H941" s="76"/>
      <c r="I941" s="76"/>
      <c r="R941" s="77"/>
      <c r="S941" s="77"/>
      <c r="U941" s="78"/>
      <c r="V941" s="78"/>
      <c r="AD941" s="77"/>
    </row>
    <row r="942" spans="5:30">
      <c r="E942" s="75"/>
      <c r="F942" s="75"/>
      <c r="H942" s="76"/>
      <c r="I942" s="76"/>
      <c r="R942" s="77"/>
      <c r="S942" s="77"/>
      <c r="U942" s="78"/>
      <c r="V942" s="78"/>
      <c r="AD942" s="77"/>
    </row>
    <row r="943" spans="5:30">
      <c r="E943" s="75"/>
      <c r="F943" s="75"/>
      <c r="H943" s="76"/>
      <c r="I943" s="76"/>
      <c r="R943" s="77"/>
      <c r="S943" s="77"/>
      <c r="U943" s="78"/>
      <c r="V943" s="78"/>
      <c r="AD943" s="77"/>
    </row>
    <row r="944" spans="5:30">
      <c r="E944" s="75"/>
      <c r="F944" s="75"/>
      <c r="H944" s="76"/>
      <c r="I944" s="76"/>
      <c r="R944" s="77"/>
      <c r="S944" s="77"/>
      <c r="U944" s="78"/>
      <c r="V944" s="78"/>
      <c r="AD944" s="77"/>
    </row>
    <row r="945" spans="5:40">
      <c r="E945" s="75"/>
      <c r="F945" s="75"/>
      <c r="H945" s="76"/>
      <c r="I945" s="76"/>
      <c r="R945" s="77"/>
      <c r="S945" s="77"/>
      <c r="U945" s="78"/>
      <c r="V945" s="78"/>
      <c r="AD945" s="77"/>
    </row>
    <row r="946" spans="5:40">
      <c r="E946" s="75"/>
      <c r="F946" s="75"/>
      <c r="H946" s="76"/>
      <c r="I946" s="76"/>
      <c r="R946" s="77"/>
      <c r="S946" s="77"/>
      <c r="U946" s="78"/>
      <c r="V946" s="78"/>
      <c r="AD946" s="77"/>
    </row>
    <row r="947" spans="5:40">
      <c r="E947" s="75"/>
      <c r="F947" s="75"/>
      <c r="H947" s="76"/>
      <c r="I947" s="76"/>
      <c r="R947" s="77"/>
      <c r="S947" s="77"/>
      <c r="U947" s="78"/>
      <c r="V947" s="78"/>
      <c r="AD947" s="77"/>
    </row>
    <row r="948" spans="5:40">
      <c r="E948" s="75"/>
      <c r="F948" s="75"/>
      <c r="H948" s="76"/>
      <c r="I948" s="76"/>
      <c r="R948" s="77"/>
      <c r="S948" s="77"/>
      <c r="U948" s="78"/>
      <c r="V948" s="78"/>
      <c r="AD948" s="77"/>
    </row>
    <row r="949" spans="5:40">
      <c r="E949" s="75"/>
      <c r="F949" s="75"/>
      <c r="H949" s="76"/>
      <c r="I949" s="76"/>
      <c r="R949" s="77"/>
      <c r="S949" s="77"/>
      <c r="U949" s="78"/>
      <c r="V949" s="78"/>
      <c r="AD949" s="77"/>
    </row>
    <row r="950" spans="5:40">
      <c r="E950" s="75"/>
      <c r="F950" s="75"/>
      <c r="H950" s="76"/>
      <c r="I950" s="76"/>
      <c r="R950" s="77"/>
      <c r="S950" s="77"/>
      <c r="U950" s="78"/>
      <c r="V950" s="78"/>
      <c r="AD950" s="77"/>
    </row>
    <row r="951" spans="5:40">
      <c r="E951" s="75"/>
      <c r="F951" s="75"/>
      <c r="H951" s="76"/>
      <c r="I951" s="76"/>
      <c r="R951" s="77"/>
      <c r="S951" s="77"/>
      <c r="U951" s="78"/>
      <c r="V951" s="78"/>
      <c r="AD951" s="77"/>
    </row>
    <row r="952" spans="5:40">
      <c r="E952" s="75"/>
      <c r="F952" s="75"/>
      <c r="H952" s="76"/>
      <c r="I952" s="76"/>
      <c r="R952" s="77"/>
      <c r="S952" s="77"/>
      <c r="U952" s="78"/>
      <c r="V952" s="78"/>
      <c r="AD952" s="77"/>
    </row>
    <row r="953" spans="5:40">
      <c r="E953" s="75"/>
      <c r="F953" s="75"/>
      <c r="H953" s="76"/>
      <c r="I953" s="76"/>
      <c r="R953" s="77"/>
      <c r="S953" s="77"/>
      <c r="U953" s="78"/>
      <c r="V953" s="78"/>
      <c r="AD953" s="77"/>
    </row>
    <row r="954" spans="5:40">
      <c r="E954" s="75"/>
      <c r="F954" s="75"/>
      <c r="H954" s="76"/>
      <c r="I954" s="76"/>
      <c r="R954" s="77"/>
      <c r="S954" s="77"/>
      <c r="U954" s="78"/>
      <c r="V954" s="78"/>
      <c r="AD954" s="77"/>
    </row>
    <row r="955" spans="5:40">
      <c r="E955" s="75"/>
      <c r="F955" s="75"/>
      <c r="H955" s="76"/>
      <c r="I955" s="76"/>
      <c r="R955" s="77"/>
      <c r="S955" s="77"/>
      <c r="U955" s="78"/>
      <c r="V955" s="78"/>
      <c r="AD955" s="77"/>
    </row>
    <row r="956" spans="5:40">
      <c r="E956" s="75"/>
      <c r="F956" s="75"/>
      <c r="H956" s="76"/>
      <c r="I956" s="76"/>
      <c r="R956" s="77"/>
      <c r="S956" s="77"/>
      <c r="U956" s="78"/>
      <c r="V956" s="78"/>
      <c r="AD956" s="77"/>
    </row>
    <row r="957" spans="5:40">
      <c r="E957" s="75"/>
      <c r="F957" s="75"/>
      <c r="H957" s="76"/>
      <c r="I957" s="76"/>
      <c r="R957" s="77"/>
      <c r="S957" s="77"/>
      <c r="U957" s="78"/>
      <c r="V957" s="78"/>
      <c r="AD957" s="77"/>
    </row>
    <row r="958" spans="5:40">
      <c r="E958" s="75"/>
      <c r="F958" s="75"/>
      <c r="H958" s="76"/>
      <c r="I958" s="76"/>
      <c r="R958" s="77"/>
      <c r="S958" s="77"/>
      <c r="U958" s="78"/>
      <c r="V958" s="78"/>
      <c r="AD958" s="77"/>
    </row>
    <row r="959" spans="5:40">
      <c r="E959" s="75"/>
      <c r="F959" s="75"/>
      <c r="H959" s="76"/>
      <c r="I959" s="76"/>
      <c r="R959" s="77"/>
      <c r="S959" s="77"/>
      <c r="U959" s="78"/>
      <c r="V959" s="78"/>
      <c r="AD959" s="77"/>
    </row>
    <row r="960" spans="5:40">
      <c r="G960" s="78"/>
      <c r="J960" s="78"/>
      <c r="K960" s="78"/>
      <c r="N960" s="78"/>
      <c r="O960" s="78"/>
      <c r="P960" s="78"/>
      <c r="Q960" s="78"/>
      <c r="T960" s="78"/>
      <c r="U960" s="78"/>
      <c r="V960" s="78"/>
      <c r="AE960" s="78"/>
      <c r="AF960" s="78"/>
      <c r="AG960" s="78"/>
      <c r="AH960" s="78"/>
      <c r="AJ960" s="78"/>
      <c r="AK960" s="78"/>
      <c r="AL960" s="78"/>
      <c r="AM960" s="78"/>
      <c r="AN960" s="78"/>
    </row>
    <row r="961" spans="5:40">
      <c r="E961" s="75"/>
      <c r="F961" s="75"/>
      <c r="H961" s="76"/>
      <c r="I961" s="76"/>
      <c r="R961" s="77"/>
      <c r="S961" s="77"/>
      <c r="U961" s="78"/>
      <c r="V961" s="78"/>
      <c r="AD961" s="77"/>
    </row>
    <row r="962" spans="5:40">
      <c r="E962" s="75"/>
      <c r="F962" s="75"/>
      <c r="H962" s="76"/>
      <c r="I962" s="76"/>
      <c r="R962" s="77"/>
      <c r="S962" s="77"/>
      <c r="U962" s="78"/>
      <c r="V962" s="78"/>
      <c r="AD962" s="77"/>
    </row>
    <row r="963" spans="5:40">
      <c r="E963" s="75"/>
      <c r="F963" s="75"/>
      <c r="H963" s="76"/>
      <c r="I963" s="76"/>
      <c r="R963" s="77"/>
      <c r="S963" s="77"/>
      <c r="U963" s="78"/>
      <c r="V963" s="78"/>
      <c r="AD963" s="77"/>
    </row>
    <row r="964" spans="5:40">
      <c r="E964" s="75"/>
      <c r="F964" s="75"/>
      <c r="H964" s="76"/>
      <c r="I964" s="76"/>
      <c r="R964" s="77"/>
      <c r="S964" s="77"/>
      <c r="U964" s="78"/>
      <c r="V964" s="78"/>
      <c r="AD964" s="77"/>
    </row>
    <row r="965" spans="5:40">
      <c r="E965" s="75"/>
      <c r="F965" s="75"/>
      <c r="H965" s="76"/>
      <c r="I965" s="76"/>
      <c r="R965" s="77"/>
      <c r="S965" s="77"/>
      <c r="U965" s="78"/>
      <c r="V965" s="78"/>
      <c r="AD965" s="77"/>
    </row>
    <row r="966" spans="5:40">
      <c r="E966" s="75"/>
      <c r="F966" s="75"/>
      <c r="H966" s="76"/>
      <c r="I966" s="76"/>
      <c r="R966" s="77"/>
      <c r="S966" s="77"/>
      <c r="U966" s="78"/>
      <c r="V966" s="78"/>
      <c r="AD966" s="77"/>
    </row>
    <row r="967" spans="5:40">
      <c r="E967" s="75"/>
      <c r="F967" s="75"/>
      <c r="H967" s="76"/>
      <c r="I967" s="76"/>
      <c r="R967" s="77"/>
      <c r="S967" s="77"/>
      <c r="U967" s="78"/>
      <c r="V967" s="78"/>
      <c r="AD967" s="77"/>
    </row>
    <row r="968" spans="5:40">
      <c r="E968" s="75"/>
      <c r="F968" s="75"/>
      <c r="H968" s="76"/>
      <c r="I968" s="76"/>
      <c r="R968" s="77"/>
      <c r="S968" s="77"/>
      <c r="U968" s="78"/>
      <c r="V968" s="78"/>
      <c r="AD968" s="77"/>
    </row>
    <row r="969" spans="5:40">
      <c r="E969" s="75"/>
      <c r="F969" s="75"/>
      <c r="H969" s="76"/>
      <c r="I969" s="76"/>
      <c r="R969" s="77"/>
      <c r="S969" s="77"/>
      <c r="U969" s="78"/>
      <c r="V969" s="78"/>
      <c r="AD969" s="77"/>
    </row>
    <row r="970" spans="5:40">
      <c r="E970" s="75"/>
      <c r="F970" s="75"/>
      <c r="H970" s="76"/>
      <c r="I970" s="76"/>
      <c r="R970" s="77"/>
      <c r="S970" s="77"/>
      <c r="U970" s="78"/>
      <c r="V970" s="78"/>
      <c r="AD970" s="77"/>
    </row>
    <row r="971" spans="5:40">
      <c r="E971" s="75"/>
      <c r="F971" s="75"/>
      <c r="H971" s="76"/>
      <c r="I971" s="76"/>
      <c r="R971" s="77"/>
      <c r="S971" s="77"/>
      <c r="U971" s="78"/>
      <c r="V971" s="78"/>
      <c r="AD971" s="77"/>
    </row>
    <row r="972" spans="5:40">
      <c r="E972" s="75"/>
      <c r="F972" s="75"/>
      <c r="H972" s="76"/>
      <c r="I972" s="76"/>
      <c r="R972" s="77"/>
      <c r="S972" s="77"/>
      <c r="U972" s="78"/>
      <c r="V972" s="78"/>
      <c r="AD972" s="77"/>
    </row>
    <row r="973" spans="5:40">
      <c r="E973" s="75"/>
      <c r="F973" s="75"/>
      <c r="H973" s="76"/>
      <c r="I973" s="76"/>
      <c r="R973" s="77"/>
      <c r="S973" s="77"/>
      <c r="U973" s="78"/>
      <c r="V973" s="78"/>
      <c r="AD973" s="77"/>
    </row>
    <row r="974" spans="5:40">
      <c r="E974" s="75"/>
      <c r="F974" s="75"/>
      <c r="H974" s="76"/>
      <c r="I974" s="76"/>
      <c r="R974" s="77"/>
      <c r="S974" s="77"/>
      <c r="U974" s="78"/>
      <c r="V974" s="78"/>
      <c r="AD974" s="77"/>
    </row>
    <row r="975" spans="5:40">
      <c r="E975" s="75"/>
      <c r="F975" s="75"/>
      <c r="H975" s="76"/>
      <c r="I975" s="76"/>
      <c r="R975" s="77"/>
      <c r="S975" s="77"/>
      <c r="U975" s="78"/>
      <c r="V975" s="78"/>
      <c r="AD975" s="77"/>
    </row>
    <row r="976" spans="5:40">
      <c r="E976" s="75"/>
      <c r="F976" s="75"/>
      <c r="G976" s="77"/>
      <c r="H976" s="76"/>
      <c r="I976" s="76"/>
      <c r="J976" s="77"/>
      <c r="K976" s="77"/>
      <c r="N976" s="77"/>
      <c r="O976" s="77"/>
      <c r="P976" s="77"/>
      <c r="Q976" s="77"/>
      <c r="R976" s="77"/>
      <c r="S976" s="77"/>
      <c r="T976" s="77"/>
      <c r="U976" s="77"/>
      <c r="V976" s="77"/>
      <c r="AD976" s="77"/>
      <c r="AE976" s="77"/>
      <c r="AF976" s="77"/>
      <c r="AG976" s="77"/>
      <c r="AH976" s="77"/>
      <c r="AJ976" s="77"/>
      <c r="AK976" s="77"/>
      <c r="AL976" s="77"/>
      <c r="AM976" s="77"/>
      <c r="AN976" s="77"/>
    </row>
    <row r="977" spans="5:30">
      <c r="E977" s="75"/>
      <c r="F977" s="75"/>
      <c r="H977" s="76"/>
      <c r="I977" s="76"/>
      <c r="R977" s="77"/>
      <c r="S977" s="77"/>
      <c r="U977" s="78"/>
      <c r="V977" s="78"/>
      <c r="AD977" s="77"/>
    </row>
    <row r="978" spans="5:30">
      <c r="E978" s="75"/>
      <c r="F978" s="75"/>
      <c r="H978" s="76"/>
      <c r="I978" s="76"/>
      <c r="R978" s="77"/>
      <c r="S978" s="77"/>
      <c r="U978" s="78"/>
      <c r="V978" s="78"/>
      <c r="AD978" s="77"/>
    </row>
    <row r="979" spans="5:30">
      <c r="E979" s="75"/>
      <c r="F979" s="75"/>
      <c r="H979" s="76"/>
      <c r="I979" s="76"/>
      <c r="R979" s="77"/>
      <c r="S979" s="77"/>
      <c r="U979" s="78"/>
      <c r="V979" s="78"/>
      <c r="AD979" s="77"/>
    </row>
    <row r="980" spans="5:30">
      <c r="E980" s="75"/>
      <c r="F980" s="75"/>
      <c r="H980" s="76"/>
      <c r="I980" s="76"/>
      <c r="R980" s="77"/>
      <c r="S980" s="77"/>
      <c r="U980" s="78"/>
      <c r="V980" s="78"/>
      <c r="AD980" s="77"/>
    </row>
    <row r="981" spans="5:30">
      <c r="E981" s="75"/>
      <c r="F981" s="75"/>
      <c r="H981" s="76"/>
      <c r="I981" s="76"/>
      <c r="R981" s="77"/>
      <c r="S981" s="77"/>
      <c r="U981" s="78"/>
      <c r="V981" s="78"/>
      <c r="AD981" s="77"/>
    </row>
    <row r="982" spans="5:30">
      <c r="E982" s="75"/>
      <c r="F982" s="75"/>
      <c r="H982" s="76"/>
      <c r="I982" s="76"/>
      <c r="R982" s="77"/>
      <c r="S982" s="77"/>
      <c r="U982" s="78"/>
      <c r="V982" s="78"/>
      <c r="AD982" s="77"/>
    </row>
    <row r="983" spans="5:30">
      <c r="E983" s="75"/>
      <c r="F983" s="75"/>
      <c r="H983" s="76"/>
      <c r="I983" s="76"/>
      <c r="R983" s="77"/>
      <c r="S983" s="77"/>
      <c r="U983" s="78"/>
      <c r="V983" s="78"/>
      <c r="AD983" s="77"/>
    </row>
    <row r="984" spans="5:30">
      <c r="E984" s="75"/>
      <c r="F984" s="75"/>
      <c r="H984" s="76"/>
      <c r="I984" s="76"/>
      <c r="R984" s="77"/>
      <c r="S984" s="77"/>
      <c r="U984" s="78"/>
      <c r="V984" s="78"/>
      <c r="AD984" s="77"/>
    </row>
    <row r="985" spans="5:30">
      <c r="E985" s="75"/>
      <c r="F985" s="75"/>
      <c r="H985" s="76"/>
      <c r="I985" s="76"/>
      <c r="R985" s="77"/>
      <c r="S985" s="77"/>
      <c r="U985" s="78"/>
      <c r="V985" s="78"/>
      <c r="AD985" s="77"/>
    </row>
    <row r="986" spans="5:30">
      <c r="E986" s="75"/>
      <c r="F986" s="75"/>
      <c r="H986" s="76"/>
      <c r="I986" s="76"/>
      <c r="R986" s="77"/>
      <c r="S986" s="77"/>
      <c r="U986" s="78"/>
      <c r="V986" s="78"/>
      <c r="AD986" s="77"/>
    </row>
    <row r="987" spans="5:30">
      <c r="E987" s="75"/>
      <c r="F987" s="75"/>
      <c r="H987" s="76"/>
      <c r="I987" s="76"/>
      <c r="R987" s="77"/>
      <c r="S987" s="77"/>
      <c r="U987" s="78"/>
      <c r="V987" s="78"/>
      <c r="AD987" s="77"/>
    </row>
    <row r="988" spans="5:30">
      <c r="E988" s="75"/>
      <c r="F988" s="75"/>
      <c r="H988" s="76"/>
      <c r="I988" s="76"/>
      <c r="R988" s="77"/>
      <c r="S988" s="77"/>
      <c r="U988" s="78"/>
      <c r="V988" s="78"/>
      <c r="AD988" s="77"/>
    </row>
    <row r="989" spans="5:30">
      <c r="E989" s="75"/>
      <c r="F989" s="75"/>
      <c r="H989" s="76"/>
      <c r="I989" s="76"/>
      <c r="R989" s="77"/>
      <c r="S989" s="77"/>
      <c r="U989" s="78"/>
      <c r="V989" s="78"/>
      <c r="AD989" s="77"/>
    </row>
    <row r="990" spans="5:30">
      <c r="E990" s="75"/>
      <c r="F990" s="75"/>
      <c r="H990" s="76"/>
      <c r="I990" s="76"/>
      <c r="R990" s="77"/>
      <c r="S990" s="77"/>
      <c r="U990" s="78"/>
      <c r="V990" s="78"/>
      <c r="AD990" s="77"/>
    </row>
    <row r="991" spans="5:30">
      <c r="E991" s="75"/>
      <c r="F991" s="75"/>
      <c r="H991" s="76"/>
      <c r="I991" s="76"/>
      <c r="R991" s="77"/>
      <c r="S991" s="77"/>
      <c r="U991" s="78"/>
      <c r="V991" s="78"/>
      <c r="AD991" s="77"/>
    </row>
    <row r="992" spans="5:30">
      <c r="E992" s="75"/>
      <c r="F992" s="75"/>
      <c r="H992" s="76"/>
      <c r="I992" s="76"/>
      <c r="R992" s="77"/>
      <c r="S992" s="77"/>
      <c r="U992" s="78"/>
      <c r="V992" s="78"/>
      <c r="AD992" s="77"/>
    </row>
    <row r="993" spans="5:30">
      <c r="E993" s="75"/>
      <c r="F993" s="75"/>
      <c r="H993" s="76"/>
      <c r="I993" s="76"/>
      <c r="R993" s="77"/>
      <c r="S993" s="77"/>
      <c r="U993" s="78"/>
      <c r="V993" s="78"/>
      <c r="AD993" s="77"/>
    </row>
    <row r="994" spans="5:30">
      <c r="E994" s="75"/>
      <c r="F994" s="75"/>
      <c r="H994" s="76"/>
      <c r="I994" s="76"/>
      <c r="R994" s="77"/>
      <c r="S994" s="77"/>
      <c r="U994" s="78"/>
      <c r="V994" s="78"/>
      <c r="AD994" s="77"/>
    </row>
    <row r="995" spans="5:30">
      <c r="E995" s="75"/>
      <c r="F995" s="75"/>
      <c r="H995" s="76"/>
      <c r="I995" s="76"/>
      <c r="R995" s="77"/>
      <c r="S995" s="77"/>
      <c r="U995" s="78"/>
      <c r="V995" s="78"/>
      <c r="AD995" s="77"/>
    </row>
    <row r="996" spans="5:30">
      <c r="E996" s="75"/>
      <c r="F996" s="75"/>
      <c r="H996" s="76"/>
      <c r="I996" s="76"/>
      <c r="R996" s="77"/>
      <c r="S996" s="77"/>
      <c r="U996" s="78"/>
      <c r="V996" s="78"/>
      <c r="AD996" s="77"/>
    </row>
    <row r="997" spans="5:30">
      <c r="E997" s="75"/>
      <c r="F997" s="75"/>
      <c r="H997" s="76"/>
      <c r="I997" s="76"/>
      <c r="R997" s="77"/>
      <c r="S997" s="77"/>
      <c r="U997" s="78"/>
      <c r="V997" s="78"/>
      <c r="AD997" s="77"/>
    </row>
    <row r="998" spans="5:30">
      <c r="E998" s="75"/>
      <c r="F998" s="75"/>
      <c r="H998" s="76"/>
      <c r="I998" s="76"/>
      <c r="R998" s="77"/>
      <c r="S998" s="77"/>
      <c r="U998" s="78"/>
      <c r="V998" s="78"/>
      <c r="AD998" s="77"/>
    </row>
    <row r="999" spans="5:30">
      <c r="E999" s="75"/>
      <c r="F999" s="75"/>
      <c r="H999" s="76"/>
      <c r="I999" s="76"/>
      <c r="R999" s="77"/>
      <c r="S999" s="77"/>
      <c r="U999" s="78"/>
      <c r="V999" s="78"/>
      <c r="AD999" s="77"/>
    </row>
    <row r="1000" spans="5:30">
      <c r="E1000" s="75"/>
      <c r="F1000" s="75"/>
      <c r="H1000" s="76"/>
      <c r="I1000" s="76"/>
      <c r="R1000" s="77"/>
      <c r="S1000" s="77"/>
      <c r="U1000" s="78"/>
      <c r="V1000" s="78"/>
      <c r="AD1000" s="77"/>
    </row>
    <row r="1001" spans="5:30">
      <c r="E1001" s="75"/>
      <c r="F1001" s="75"/>
      <c r="H1001" s="76"/>
      <c r="I1001" s="76"/>
      <c r="R1001" s="77"/>
      <c r="S1001" s="77"/>
      <c r="U1001" s="78"/>
      <c r="V1001" s="78"/>
      <c r="AD1001" s="77"/>
    </row>
    <row r="1002" spans="5:30">
      <c r="E1002" s="75"/>
      <c r="F1002" s="75"/>
      <c r="H1002" s="76"/>
      <c r="I1002" s="76"/>
      <c r="R1002" s="77"/>
      <c r="S1002" s="77"/>
      <c r="U1002" s="78"/>
      <c r="V1002" s="78"/>
      <c r="AD1002" s="77"/>
    </row>
    <row r="1003" spans="5:30">
      <c r="E1003" s="75"/>
      <c r="F1003" s="75"/>
      <c r="H1003" s="76"/>
      <c r="I1003" s="76"/>
      <c r="R1003" s="77"/>
      <c r="S1003" s="77"/>
      <c r="U1003" s="78"/>
      <c r="V1003" s="78"/>
      <c r="AD1003" s="77"/>
    </row>
    <row r="1004" spans="5:30">
      <c r="E1004" s="75"/>
      <c r="F1004" s="75"/>
      <c r="H1004" s="76"/>
      <c r="I1004" s="76"/>
      <c r="R1004" s="77"/>
      <c r="S1004" s="77"/>
      <c r="U1004" s="78"/>
      <c r="V1004" s="78"/>
      <c r="AD1004" s="77"/>
    </row>
    <row r="1005" spans="5:30">
      <c r="E1005" s="75"/>
      <c r="F1005" s="75"/>
      <c r="H1005" s="76"/>
      <c r="I1005" s="76"/>
      <c r="R1005" s="77"/>
      <c r="S1005" s="77"/>
      <c r="U1005" s="78"/>
      <c r="V1005" s="78"/>
      <c r="AD1005" s="77"/>
    </row>
    <row r="1006" spans="5:30">
      <c r="E1006" s="75"/>
      <c r="F1006" s="75"/>
      <c r="H1006" s="76"/>
      <c r="I1006" s="76"/>
      <c r="R1006" s="77"/>
      <c r="S1006" s="77"/>
      <c r="U1006" s="78"/>
      <c r="V1006" s="78"/>
      <c r="AD1006" s="77"/>
    </row>
    <row r="1007" spans="5:30">
      <c r="E1007" s="75"/>
      <c r="F1007" s="75"/>
      <c r="H1007" s="76"/>
      <c r="I1007" s="76"/>
      <c r="R1007" s="77"/>
      <c r="S1007" s="77"/>
      <c r="U1007" s="78"/>
      <c r="V1007" s="78"/>
      <c r="AD1007" s="77"/>
    </row>
    <row r="1008" spans="5:30">
      <c r="E1008" s="75"/>
      <c r="F1008" s="75"/>
      <c r="I1008" s="76"/>
      <c r="S1008" s="77"/>
      <c r="U1008" s="78"/>
      <c r="V1008" s="78"/>
      <c r="AD1008" s="77"/>
    </row>
    <row r="1009" spans="5:30">
      <c r="E1009" s="75"/>
      <c r="F1009" s="75"/>
      <c r="I1009" s="76"/>
      <c r="S1009" s="77"/>
      <c r="U1009" s="78"/>
      <c r="V1009" s="78"/>
      <c r="AD1009" s="77"/>
    </row>
    <row r="1010" spans="5:30">
      <c r="E1010" s="75"/>
      <c r="F1010" s="75"/>
      <c r="I1010" s="76"/>
      <c r="S1010" s="77"/>
      <c r="U1010" s="78"/>
      <c r="V1010" s="78"/>
      <c r="AD1010" s="77"/>
    </row>
    <row r="1011" spans="5:30">
      <c r="E1011" s="75"/>
      <c r="F1011" s="75"/>
      <c r="I1011" s="76"/>
      <c r="S1011" s="77"/>
      <c r="U1011" s="78"/>
      <c r="V1011" s="78"/>
      <c r="AD1011" s="77"/>
    </row>
    <row r="1012" spans="5:30">
      <c r="E1012" s="75"/>
      <c r="F1012" s="75"/>
      <c r="I1012" s="76"/>
      <c r="S1012" s="77"/>
      <c r="U1012" s="78"/>
      <c r="V1012" s="78"/>
      <c r="AD1012" s="77"/>
    </row>
    <row r="1013" spans="5:30">
      <c r="E1013" s="75"/>
      <c r="F1013" s="75"/>
      <c r="H1013" s="76"/>
      <c r="I1013" s="76"/>
      <c r="R1013" s="77"/>
      <c r="S1013" s="77"/>
      <c r="U1013" s="78"/>
      <c r="V1013" s="78"/>
      <c r="AD1013" s="77"/>
    </row>
    <row r="1014" spans="5:30">
      <c r="E1014" s="75"/>
      <c r="F1014" s="75"/>
      <c r="H1014" s="76"/>
      <c r="I1014" s="76"/>
      <c r="R1014" s="77"/>
      <c r="S1014" s="77"/>
      <c r="U1014" s="78"/>
      <c r="V1014" s="78"/>
      <c r="AD1014" s="77"/>
    </row>
    <row r="1015" spans="5:30">
      <c r="E1015" s="75"/>
      <c r="F1015" s="75"/>
      <c r="H1015" s="76"/>
      <c r="I1015" s="76"/>
      <c r="R1015" s="77"/>
      <c r="S1015" s="77"/>
      <c r="U1015" s="78"/>
      <c r="V1015" s="78"/>
      <c r="AD1015" s="77"/>
    </row>
    <row r="1016" spans="5:30">
      <c r="E1016" s="75"/>
      <c r="F1016" s="75"/>
      <c r="H1016" s="76"/>
      <c r="I1016" s="76"/>
      <c r="R1016" s="77"/>
      <c r="S1016" s="77"/>
      <c r="U1016" s="78"/>
      <c r="V1016" s="78"/>
      <c r="AD1016" s="77"/>
    </row>
    <row r="1017" spans="5:30">
      <c r="E1017" s="75"/>
      <c r="F1017" s="75"/>
      <c r="H1017" s="76"/>
      <c r="I1017" s="76"/>
      <c r="R1017" s="77"/>
      <c r="S1017" s="77"/>
      <c r="U1017" s="78"/>
      <c r="V1017" s="78"/>
      <c r="AD1017" s="77"/>
    </row>
    <row r="1018" spans="5:30">
      <c r="E1018" s="75"/>
      <c r="F1018" s="75"/>
      <c r="H1018" s="76"/>
      <c r="I1018" s="76"/>
      <c r="R1018" s="77"/>
      <c r="S1018" s="77"/>
      <c r="U1018" s="78"/>
      <c r="V1018" s="78"/>
      <c r="AD1018" s="77"/>
    </row>
    <row r="1019" spans="5:30">
      <c r="E1019" s="75"/>
      <c r="F1019" s="75"/>
      <c r="H1019" s="76"/>
      <c r="I1019" s="76"/>
      <c r="R1019" s="77"/>
      <c r="S1019" s="77"/>
      <c r="U1019" s="78"/>
      <c r="V1019" s="78"/>
      <c r="AD1019" s="77"/>
    </row>
    <row r="1020" spans="5:30">
      <c r="E1020" s="75"/>
      <c r="F1020" s="75"/>
      <c r="H1020" s="76"/>
      <c r="I1020" s="76"/>
      <c r="R1020" s="77"/>
      <c r="S1020" s="77"/>
      <c r="U1020" s="78"/>
      <c r="V1020" s="78"/>
      <c r="AD1020" s="77"/>
    </row>
    <row r="1021" spans="5:30">
      <c r="E1021" s="75"/>
      <c r="F1021" s="75"/>
      <c r="H1021" s="76"/>
      <c r="I1021" s="76"/>
      <c r="R1021" s="77"/>
      <c r="S1021" s="77"/>
      <c r="U1021" s="78"/>
      <c r="V1021" s="78"/>
      <c r="AD1021" s="77"/>
    </row>
    <row r="1022" spans="5:30">
      <c r="E1022" s="75"/>
      <c r="F1022" s="75"/>
      <c r="H1022" s="76"/>
      <c r="I1022" s="76"/>
      <c r="R1022" s="77"/>
      <c r="S1022" s="77"/>
      <c r="U1022" s="78"/>
      <c r="V1022" s="78"/>
      <c r="AD1022" s="77"/>
    </row>
    <row r="1023" spans="5:30">
      <c r="E1023" s="75"/>
      <c r="F1023" s="75"/>
      <c r="H1023" s="76"/>
      <c r="I1023" s="76"/>
      <c r="R1023" s="77"/>
      <c r="S1023" s="77"/>
      <c r="U1023" s="78"/>
      <c r="V1023" s="78"/>
      <c r="AD1023" s="77"/>
    </row>
    <row r="1024" spans="5:30">
      <c r="E1024" s="75"/>
      <c r="F1024" s="75"/>
      <c r="H1024" s="76"/>
      <c r="I1024" s="76"/>
      <c r="R1024" s="77"/>
      <c r="S1024" s="77"/>
      <c r="U1024" s="78"/>
      <c r="V1024" s="78"/>
      <c r="AD1024" s="77"/>
    </row>
    <row r="1025" spans="5:40">
      <c r="E1025" s="75"/>
      <c r="F1025" s="75"/>
      <c r="H1025" s="76"/>
      <c r="I1025" s="76"/>
      <c r="R1025" s="77"/>
      <c r="S1025" s="77"/>
      <c r="U1025" s="78"/>
      <c r="V1025" s="78"/>
      <c r="AD1025" s="77"/>
    </row>
    <row r="1026" spans="5:40">
      <c r="E1026" s="75"/>
      <c r="F1026" s="75"/>
      <c r="H1026" s="76"/>
      <c r="I1026" s="76"/>
      <c r="R1026" s="77"/>
      <c r="S1026" s="77"/>
      <c r="U1026" s="78"/>
      <c r="V1026" s="78"/>
      <c r="AD1026" s="77"/>
    </row>
    <row r="1027" spans="5:40">
      <c r="E1027" s="75"/>
      <c r="F1027" s="75"/>
      <c r="H1027" s="76"/>
      <c r="I1027" s="76"/>
      <c r="R1027" s="77"/>
      <c r="S1027" s="77"/>
      <c r="U1027" s="78"/>
      <c r="V1027" s="78"/>
      <c r="AD1027" s="77"/>
    </row>
    <row r="1028" spans="5:40">
      <c r="E1028" s="75"/>
      <c r="F1028" s="75"/>
      <c r="H1028" s="76"/>
      <c r="I1028" s="76"/>
      <c r="R1028" s="77"/>
      <c r="S1028" s="77"/>
      <c r="U1028" s="78"/>
      <c r="V1028" s="78"/>
      <c r="AD1028" s="77"/>
    </row>
    <row r="1029" spans="5:40">
      <c r="E1029" s="75"/>
      <c r="F1029" s="75"/>
      <c r="H1029" s="76"/>
      <c r="I1029" s="76"/>
      <c r="R1029" s="77"/>
      <c r="S1029" s="77"/>
      <c r="U1029" s="78"/>
      <c r="V1029" s="78"/>
      <c r="AD1029" s="77"/>
    </row>
    <row r="1030" spans="5:40">
      <c r="E1030" s="75"/>
      <c r="F1030" s="75"/>
      <c r="H1030" s="76"/>
      <c r="I1030" s="76"/>
      <c r="R1030" s="77"/>
      <c r="S1030" s="77"/>
      <c r="U1030" s="78"/>
      <c r="V1030" s="78"/>
      <c r="AD1030" s="77"/>
    </row>
    <row r="1031" spans="5:40">
      <c r="E1031" s="75"/>
      <c r="F1031" s="75"/>
      <c r="H1031" s="76"/>
      <c r="I1031" s="76"/>
      <c r="R1031" s="77"/>
      <c r="S1031" s="77"/>
      <c r="U1031" s="78"/>
      <c r="V1031" s="78"/>
      <c r="AD1031" s="77"/>
    </row>
    <row r="1032" spans="5:40">
      <c r="E1032" s="75"/>
      <c r="F1032" s="75"/>
      <c r="H1032" s="76"/>
      <c r="I1032" s="76"/>
      <c r="R1032" s="77"/>
      <c r="S1032" s="77"/>
      <c r="U1032" s="78"/>
      <c r="V1032" s="78"/>
      <c r="AD1032" s="77"/>
    </row>
    <row r="1033" spans="5:40">
      <c r="E1033" s="75"/>
      <c r="F1033" s="75"/>
      <c r="H1033" s="76"/>
      <c r="I1033" s="76"/>
      <c r="R1033" s="77"/>
      <c r="S1033" s="77"/>
      <c r="U1033" s="78"/>
      <c r="V1033" s="78"/>
      <c r="AD1033" s="77"/>
    </row>
    <row r="1034" spans="5:40">
      <c r="E1034" s="75"/>
      <c r="F1034" s="75"/>
      <c r="H1034" s="76"/>
      <c r="I1034" s="76"/>
      <c r="R1034" s="77"/>
      <c r="S1034" s="77"/>
      <c r="U1034" s="78"/>
      <c r="V1034" s="78"/>
      <c r="AD1034" s="77"/>
    </row>
    <row r="1035" spans="5:40">
      <c r="E1035" s="75"/>
      <c r="F1035" s="75"/>
      <c r="H1035" s="76"/>
      <c r="I1035" s="76"/>
      <c r="R1035" s="77"/>
      <c r="S1035" s="77"/>
      <c r="U1035" s="78"/>
      <c r="V1035" s="78"/>
      <c r="AD1035" s="77"/>
    </row>
    <row r="1036" spans="5:40">
      <c r="E1036" s="75"/>
      <c r="F1036" s="75"/>
      <c r="G1036" s="77"/>
      <c r="H1036" s="76"/>
      <c r="I1036" s="76"/>
      <c r="J1036" s="77"/>
      <c r="K1036" s="77"/>
      <c r="N1036" s="77"/>
      <c r="O1036" s="77"/>
      <c r="P1036" s="77"/>
      <c r="Q1036" s="77"/>
      <c r="R1036" s="77"/>
      <c r="S1036" s="77"/>
      <c r="T1036" s="77"/>
      <c r="U1036" s="77"/>
      <c r="V1036" s="77"/>
      <c r="AD1036" s="77"/>
      <c r="AE1036" s="77"/>
      <c r="AF1036" s="77"/>
      <c r="AG1036" s="77"/>
      <c r="AH1036" s="77"/>
      <c r="AJ1036" s="77"/>
      <c r="AK1036" s="77"/>
      <c r="AL1036" s="77"/>
      <c r="AM1036" s="77"/>
      <c r="AN1036" s="77"/>
    </row>
    <row r="1037" spans="5:40">
      <c r="R1037" s="13"/>
      <c r="S1037" s="13"/>
      <c r="AD1037" s="13"/>
    </row>
    <row r="1038" spans="5:40">
      <c r="U1038" s="78"/>
      <c r="V1038" s="78"/>
    </row>
    <row r="1039" spans="5:40">
      <c r="U1039" s="78"/>
      <c r="V1039" s="78"/>
    </row>
    <row r="1040" spans="5:40">
      <c r="U1040" s="78"/>
      <c r="V1040" s="78"/>
    </row>
    <row r="1041" spans="21:22">
      <c r="U1041" s="78"/>
      <c r="V1041" s="78"/>
    </row>
    <row r="1042" spans="21:22">
      <c r="U1042" s="78"/>
      <c r="V1042" s="78"/>
    </row>
    <row r="1043" spans="21:22">
      <c r="U1043" s="78"/>
      <c r="V1043" s="78"/>
    </row>
    <row r="1044" spans="21:22">
      <c r="U1044" s="78"/>
      <c r="V1044" s="78"/>
    </row>
    <row r="1045" spans="21:22">
      <c r="U1045" s="78"/>
      <c r="V1045" s="78"/>
    </row>
    <row r="1046" spans="21:22">
      <c r="U1046" s="78"/>
      <c r="V1046" s="78"/>
    </row>
    <row r="1047" spans="21:22">
      <c r="U1047" s="78"/>
      <c r="V1047" s="78"/>
    </row>
    <row r="1048" spans="21:22">
      <c r="U1048" s="78"/>
      <c r="V1048" s="78"/>
    </row>
    <row r="1049" spans="21:22">
      <c r="U1049" s="78"/>
      <c r="V1049" s="78"/>
    </row>
    <row r="1050" spans="21:22">
      <c r="U1050" s="78"/>
      <c r="V1050" s="78"/>
    </row>
    <row r="1051" spans="21:22">
      <c r="U1051" s="78"/>
      <c r="V1051" s="78"/>
    </row>
    <row r="1052" spans="21:22">
      <c r="U1052" s="78"/>
      <c r="V1052" s="78"/>
    </row>
    <row r="1053" spans="21:22">
      <c r="U1053" s="78"/>
      <c r="V1053" s="78"/>
    </row>
    <row r="1054" spans="21:22">
      <c r="U1054" s="78"/>
      <c r="V1054" s="78"/>
    </row>
    <row r="1055" spans="21:22">
      <c r="U1055" s="78"/>
      <c r="V1055" s="78"/>
    </row>
    <row r="1056" spans="21:22">
      <c r="U1056" s="78"/>
      <c r="V1056" s="78"/>
    </row>
    <row r="1057" spans="21:22">
      <c r="U1057" s="78"/>
      <c r="V1057" s="78"/>
    </row>
    <row r="1058" spans="21:22">
      <c r="U1058" s="78"/>
      <c r="V1058" s="78"/>
    </row>
    <row r="1059" spans="21:22">
      <c r="U1059" s="78"/>
      <c r="V1059" s="78"/>
    </row>
    <row r="1060" spans="21:22">
      <c r="U1060" s="78"/>
      <c r="V1060" s="78"/>
    </row>
    <row r="1061" spans="21:22">
      <c r="U1061" s="78"/>
      <c r="V1061" s="78"/>
    </row>
    <row r="1062" spans="21:22">
      <c r="U1062" s="78"/>
      <c r="V1062" s="78"/>
    </row>
    <row r="1063" spans="21:22">
      <c r="U1063" s="78"/>
      <c r="V1063" s="78"/>
    </row>
    <row r="1064" spans="21:22">
      <c r="U1064" s="78"/>
      <c r="V1064" s="78"/>
    </row>
    <row r="1065" spans="21:22">
      <c r="U1065" s="78"/>
      <c r="V1065" s="78"/>
    </row>
    <row r="1066" spans="21:22">
      <c r="U1066" s="78"/>
      <c r="V1066" s="78"/>
    </row>
    <row r="1067" spans="21:22">
      <c r="U1067" s="78"/>
      <c r="V1067" s="78"/>
    </row>
    <row r="1068" spans="21:22">
      <c r="U1068" s="78"/>
      <c r="V1068" s="78"/>
    </row>
    <row r="1069" spans="21:22">
      <c r="U1069" s="78"/>
      <c r="V1069" s="78"/>
    </row>
    <row r="1070" spans="21:22">
      <c r="U1070" s="78"/>
      <c r="V1070" s="78"/>
    </row>
    <row r="1071" spans="21:22">
      <c r="U1071" s="78"/>
      <c r="V1071" s="78"/>
    </row>
    <row r="1072" spans="21:22">
      <c r="U1072" s="78"/>
      <c r="V1072" s="78"/>
    </row>
    <row r="1073" spans="21:22">
      <c r="U1073" s="78"/>
      <c r="V1073" s="78"/>
    </row>
    <row r="1074" spans="21:22">
      <c r="U1074" s="78"/>
      <c r="V1074" s="78"/>
    </row>
    <row r="1075" spans="21:22">
      <c r="U1075" s="78"/>
      <c r="V1075" s="78"/>
    </row>
    <row r="1076" spans="21:22">
      <c r="U1076" s="78"/>
      <c r="V1076" s="78"/>
    </row>
    <row r="1077" spans="21:22">
      <c r="U1077" s="78"/>
      <c r="V1077" s="78"/>
    </row>
    <row r="1078" spans="21:22">
      <c r="U1078" s="78"/>
      <c r="V1078" s="78"/>
    </row>
    <row r="1079" spans="21:22">
      <c r="U1079" s="78"/>
      <c r="V1079" s="78"/>
    </row>
    <row r="1080" spans="21:22">
      <c r="U1080" s="78"/>
      <c r="V1080" s="78"/>
    </row>
    <row r="1081" spans="21:22">
      <c r="U1081" s="78"/>
      <c r="V1081" s="78"/>
    </row>
    <row r="1082" spans="21:22">
      <c r="U1082" s="78"/>
      <c r="V1082" s="78"/>
    </row>
    <row r="1083" spans="21:22">
      <c r="U1083" s="78"/>
      <c r="V1083" s="78"/>
    </row>
    <row r="1084" spans="21:22">
      <c r="U1084" s="78"/>
      <c r="V1084" s="78"/>
    </row>
    <row r="1085" spans="21:22">
      <c r="U1085" s="78"/>
      <c r="V1085" s="78"/>
    </row>
    <row r="1086" spans="21:22">
      <c r="U1086" s="78"/>
      <c r="V1086" s="78"/>
    </row>
    <row r="1087" spans="21:22">
      <c r="U1087" s="78"/>
      <c r="V1087" s="78"/>
    </row>
    <row r="1088" spans="21:22">
      <c r="U1088" s="78"/>
      <c r="V1088" s="78"/>
    </row>
    <row r="1089" spans="21:22">
      <c r="U1089" s="78"/>
      <c r="V1089" s="78"/>
    </row>
    <row r="1090" spans="21:22">
      <c r="U1090" s="78"/>
      <c r="V1090" s="78"/>
    </row>
    <row r="1091" spans="21:22">
      <c r="U1091" s="78"/>
      <c r="V1091" s="78"/>
    </row>
    <row r="1092" spans="21:22">
      <c r="U1092" s="78"/>
      <c r="V1092" s="78"/>
    </row>
    <row r="1093" spans="21:22">
      <c r="U1093" s="78"/>
      <c r="V1093" s="78"/>
    </row>
    <row r="1094" spans="21:22">
      <c r="U1094" s="78"/>
      <c r="V1094" s="78"/>
    </row>
    <row r="1095" spans="21:22">
      <c r="U1095" s="78"/>
      <c r="V1095" s="78"/>
    </row>
    <row r="1096" spans="21:22">
      <c r="U1096" s="78"/>
      <c r="V1096" s="78"/>
    </row>
    <row r="1097" spans="21:22">
      <c r="U1097" s="78"/>
      <c r="V1097" s="78"/>
    </row>
    <row r="1098" spans="21:22">
      <c r="U1098" s="78"/>
      <c r="V1098" s="78"/>
    </row>
    <row r="1099" spans="21:22">
      <c r="U1099" s="78"/>
      <c r="V1099" s="78"/>
    </row>
    <row r="1100" spans="21:22">
      <c r="U1100" s="78"/>
      <c r="V1100" s="78"/>
    </row>
    <row r="1101" spans="21:22">
      <c r="U1101" s="78"/>
      <c r="V1101" s="78"/>
    </row>
    <row r="1102" spans="21:22">
      <c r="U1102" s="78"/>
      <c r="V1102" s="78"/>
    </row>
    <row r="1103" spans="21:22">
      <c r="U1103" s="78"/>
      <c r="V1103" s="78"/>
    </row>
    <row r="1104" spans="21:22">
      <c r="U1104" s="78"/>
      <c r="V1104" s="78"/>
    </row>
    <row r="1105" spans="21:22">
      <c r="U1105" s="78"/>
      <c r="V1105" s="78"/>
    </row>
    <row r="1106" spans="21:22">
      <c r="U1106" s="78"/>
      <c r="V1106" s="78"/>
    </row>
    <row r="1107" spans="21:22">
      <c r="U1107" s="78"/>
      <c r="V1107" s="78"/>
    </row>
    <row r="1108" spans="21:22">
      <c r="U1108" s="78"/>
      <c r="V1108" s="78"/>
    </row>
    <row r="1109" spans="21:22">
      <c r="U1109" s="78"/>
      <c r="V1109" s="78"/>
    </row>
    <row r="1110" spans="21:22">
      <c r="U1110" s="78"/>
      <c r="V1110" s="78"/>
    </row>
    <row r="1111" spans="21:22">
      <c r="U1111" s="78"/>
      <c r="V1111" s="78"/>
    </row>
    <row r="1112" spans="21:22">
      <c r="U1112" s="78"/>
      <c r="V1112" s="78"/>
    </row>
    <row r="1113" spans="21:22">
      <c r="U1113" s="78"/>
      <c r="V1113" s="78"/>
    </row>
    <row r="1114" spans="21:22">
      <c r="U1114" s="78"/>
      <c r="V1114" s="78"/>
    </row>
    <row r="1115" spans="21:22">
      <c r="U1115" s="78"/>
      <c r="V1115" s="78"/>
    </row>
    <row r="1116" spans="21:22">
      <c r="U1116" s="78"/>
      <c r="V1116" s="78"/>
    </row>
    <row r="1117" spans="21:22">
      <c r="U1117" s="78"/>
      <c r="V1117" s="78"/>
    </row>
    <row r="1118" spans="21:22">
      <c r="U1118" s="78"/>
      <c r="V1118" s="78"/>
    </row>
    <row r="1119" spans="21:22">
      <c r="U1119" s="78"/>
      <c r="V1119" s="78"/>
    </row>
    <row r="1120" spans="21:22">
      <c r="U1120" s="78"/>
      <c r="V1120" s="78"/>
    </row>
    <row r="1121" spans="21:22">
      <c r="U1121" s="78"/>
      <c r="V1121" s="78"/>
    </row>
    <row r="1122" spans="21:22">
      <c r="U1122" s="78"/>
      <c r="V1122" s="78"/>
    </row>
    <row r="1123" spans="21:22">
      <c r="U1123" s="78"/>
      <c r="V1123" s="78"/>
    </row>
    <row r="1124" spans="21:22">
      <c r="U1124" s="78"/>
      <c r="V1124" s="78"/>
    </row>
    <row r="1125" spans="21:22">
      <c r="U1125" s="78"/>
      <c r="V1125" s="78"/>
    </row>
    <row r="1126" spans="21:22">
      <c r="U1126" s="78"/>
      <c r="V1126" s="78"/>
    </row>
    <row r="1127" spans="21:22">
      <c r="U1127" s="78"/>
      <c r="V1127" s="78"/>
    </row>
    <row r="1128" spans="21:22">
      <c r="U1128" s="78"/>
      <c r="V1128" s="78"/>
    </row>
    <row r="1129" spans="21:22">
      <c r="U1129" s="78"/>
      <c r="V1129" s="78"/>
    </row>
    <row r="1130" spans="21:22">
      <c r="U1130" s="78"/>
      <c r="V1130" s="78"/>
    </row>
    <row r="1131" spans="21:22">
      <c r="U1131" s="78"/>
      <c r="V1131" s="78"/>
    </row>
    <row r="1132" spans="21:22">
      <c r="U1132" s="78"/>
      <c r="V1132" s="78"/>
    </row>
    <row r="1133" spans="21:22">
      <c r="U1133" s="78"/>
      <c r="V1133" s="78"/>
    </row>
    <row r="1134" spans="21:22">
      <c r="U1134" s="78"/>
      <c r="V1134" s="78"/>
    </row>
    <row r="1135" spans="21:22">
      <c r="U1135" s="78"/>
      <c r="V1135" s="78"/>
    </row>
    <row r="1136" spans="21:22">
      <c r="U1136" s="78"/>
      <c r="V1136" s="78"/>
    </row>
    <row r="1137" spans="21:22">
      <c r="U1137" s="78"/>
      <c r="V1137" s="78"/>
    </row>
    <row r="1138" spans="21:22">
      <c r="U1138" s="78"/>
      <c r="V1138" s="78"/>
    </row>
    <row r="1139" spans="21:22">
      <c r="U1139" s="78"/>
      <c r="V1139" s="78"/>
    </row>
    <row r="1140" spans="21:22">
      <c r="U1140" s="78"/>
      <c r="V1140" s="78"/>
    </row>
    <row r="1141" spans="21:22">
      <c r="U1141" s="78"/>
      <c r="V1141" s="78"/>
    </row>
    <row r="1142" spans="21:22">
      <c r="U1142" s="78"/>
      <c r="V1142" s="78"/>
    </row>
    <row r="1143" spans="21:22">
      <c r="U1143" s="78"/>
      <c r="V1143" s="78"/>
    </row>
    <row r="1144" spans="21:22">
      <c r="U1144" s="78"/>
      <c r="V1144" s="78"/>
    </row>
    <row r="1145" spans="21:22">
      <c r="U1145" s="78"/>
      <c r="V1145" s="78"/>
    </row>
    <row r="1146" spans="21:22">
      <c r="U1146" s="78"/>
      <c r="V1146" s="78"/>
    </row>
    <row r="1147" spans="21:22">
      <c r="U1147" s="78"/>
      <c r="V1147" s="78"/>
    </row>
    <row r="1148" spans="21:22">
      <c r="U1148" s="78"/>
      <c r="V1148" s="78"/>
    </row>
    <row r="1149" spans="21:22">
      <c r="U1149" s="78"/>
      <c r="V1149" s="78"/>
    </row>
    <row r="1150" spans="21:22">
      <c r="U1150" s="78"/>
      <c r="V1150" s="78"/>
    </row>
    <row r="1151" spans="21:22">
      <c r="U1151" s="78"/>
      <c r="V1151" s="78"/>
    </row>
    <row r="1152" spans="21:22">
      <c r="U1152" s="78"/>
      <c r="V1152" s="78"/>
    </row>
    <row r="1153" spans="21:22">
      <c r="U1153" s="78"/>
      <c r="V1153" s="78"/>
    </row>
    <row r="1154" spans="21:22">
      <c r="U1154" s="78"/>
      <c r="V1154" s="78"/>
    </row>
    <row r="1155" spans="21:22">
      <c r="U1155" s="78"/>
      <c r="V1155" s="78"/>
    </row>
    <row r="1156" spans="21:22">
      <c r="U1156" s="78"/>
      <c r="V1156" s="78"/>
    </row>
    <row r="1157" spans="21:22">
      <c r="U1157" s="78"/>
      <c r="V1157" s="78"/>
    </row>
    <row r="1158" spans="21:22">
      <c r="U1158" s="78"/>
      <c r="V1158" s="78"/>
    </row>
    <row r="1159" spans="21:22">
      <c r="U1159" s="78"/>
      <c r="V1159" s="78"/>
    </row>
    <row r="1160" spans="21:22">
      <c r="U1160" s="78"/>
      <c r="V1160" s="78"/>
    </row>
    <row r="1161" spans="21:22">
      <c r="U1161" s="78"/>
      <c r="V1161" s="78"/>
    </row>
    <row r="1162" spans="21:22">
      <c r="U1162" s="78"/>
      <c r="V1162" s="78"/>
    </row>
    <row r="1163" spans="21:22">
      <c r="U1163" s="78"/>
      <c r="V1163" s="78"/>
    </row>
    <row r="1164" spans="21:22">
      <c r="U1164" s="78"/>
      <c r="V1164" s="78"/>
    </row>
    <row r="1165" spans="21:22">
      <c r="U1165" s="78"/>
      <c r="V1165" s="78"/>
    </row>
    <row r="1166" spans="21:22">
      <c r="U1166" s="78"/>
      <c r="V1166" s="78"/>
    </row>
    <row r="1167" spans="21:22">
      <c r="U1167" s="78"/>
      <c r="V1167" s="78"/>
    </row>
    <row r="1168" spans="21:22">
      <c r="U1168" s="78"/>
      <c r="V1168" s="78"/>
    </row>
    <row r="1169" spans="21:22">
      <c r="U1169" s="78"/>
      <c r="V1169" s="78"/>
    </row>
    <row r="1170" spans="21:22">
      <c r="U1170" s="78"/>
      <c r="V1170" s="78"/>
    </row>
    <row r="1171" spans="21:22">
      <c r="U1171" s="78"/>
      <c r="V1171" s="78"/>
    </row>
    <row r="1172" spans="21:22">
      <c r="U1172" s="78"/>
      <c r="V1172" s="78"/>
    </row>
    <row r="1173" spans="21:22">
      <c r="U1173" s="78"/>
      <c r="V1173" s="78"/>
    </row>
    <row r="1174" spans="21:22">
      <c r="U1174" s="78"/>
      <c r="V1174" s="78"/>
    </row>
    <row r="1175" spans="21:22">
      <c r="U1175" s="78"/>
      <c r="V1175" s="78"/>
    </row>
    <row r="1176" spans="21:22">
      <c r="U1176" s="78"/>
      <c r="V1176" s="78"/>
    </row>
    <row r="1177" spans="21:22">
      <c r="U1177" s="78"/>
      <c r="V1177" s="78"/>
    </row>
    <row r="1178" spans="21:22">
      <c r="U1178" s="78"/>
      <c r="V1178" s="78"/>
    </row>
    <row r="1179" spans="21:22">
      <c r="U1179" s="78"/>
      <c r="V1179" s="78"/>
    </row>
    <row r="1180" spans="21:22">
      <c r="U1180" s="78"/>
      <c r="V1180" s="78"/>
    </row>
    <row r="1181" spans="21:22">
      <c r="U1181" s="78"/>
      <c r="V1181" s="78"/>
    </row>
    <row r="1182" spans="21:22">
      <c r="U1182" s="78"/>
      <c r="V1182" s="78"/>
    </row>
    <row r="1183" spans="21:22">
      <c r="U1183" s="78"/>
      <c r="V1183" s="78"/>
    </row>
    <row r="1184" spans="21:22">
      <c r="U1184" s="78"/>
      <c r="V1184" s="78"/>
    </row>
    <row r="1185" spans="21:22">
      <c r="U1185" s="78"/>
      <c r="V1185" s="78"/>
    </row>
    <row r="1186" spans="21:22">
      <c r="U1186" s="78"/>
      <c r="V1186" s="78"/>
    </row>
    <row r="1187" spans="21:22">
      <c r="U1187" s="78"/>
      <c r="V1187" s="78"/>
    </row>
    <row r="1188" spans="21:22">
      <c r="U1188" s="78"/>
      <c r="V1188" s="78"/>
    </row>
    <row r="1189" spans="21:22">
      <c r="U1189" s="78"/>
      <c r="V1189" s="78"/>
    </row>
    <row r="1190" spans="21:22">
      <c r="U1190" s="78"/>
      <c r="V1190" s="78"/>
    </row>
    <row r="1191" spans="21:22">
      <c r="U1191" s="78"/>
      <c r="V1191" s="78"/>
    </row>
    <row r="1192" spans="21:22">
      <c r="U1192" s="78"/>
      <c r="V1192" s="78"/>
    </row>
    <row r="1193" spans="21:22">
      <c r="U1193" s="78"/>
      <c r="V1193" s="78"/>
    </row>
    <row r="1194" spans="21:22">
      <c r="U1194" s="78"/>
      <c r="V1194" s="78"/>
    </row>
    <row r="1195" spans="21:22">
      <c r="U1195" s="78"/>
      <c r="V1195" s="78"/>
    </row>
    <row r="1196" spans="21:22">
      <c r="U1196" s="78"/>
      <c r="V1196" s="78"/>
    </row>
  </sheetData>
  <autoFilter ref="A6:DQ53">
    <filterColumn colId="7">
      <filters>
        <filter val="4"/>
        <filter val="4,5,7"/>
        <filter val="5"/>
        <filter val="6"/>
      </filters>
    </filterColumn>
  </autoFilter>
  <sortState ref="C62:CT119">
    <sortCondition ref="C62"/>
  </sortState>
  <mergeCells count="113">
    <mergeCell ref="CP1:DQ1"/>
    <mergeCell ref="CI2:CI5"/>
    <mergeCell ref="CW4:CW5"/>
    <mergeCell ref="CZ4:CZ5"/>
    <mergeCell ref="DA4:DA5"/>
    <mergeCell ref="DB4:DH4"/>
    <mergeCell ref="DI4:DO4"/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R4:CR5"/>
    <mergeCell ref="CS4:CS5"/>
    <mergeCell ref="CT4:CT5"/>
    <mergeCell ref="CU4:CU5"/>
    <mergeCell ref="CV4:CV5"/>
    <mergeCell ref="CJ2:CO2"/>
    <mergeCell ref="CJ3:CL4"/>
    <mergeCell ref="AR2:AR5"/>
    <mergeCell ref="AS2:AS5"/>
    <mergeCell ref="AT2:AT5"/>
    <mergeCell ref="AV4:AV5"/>
    <mergeCell ref="AU2:AW2"/>
    <mergeCell ref="AU3:AU5"/>
    <mergeCell ref="AV3:AW3"/>
    <mergeCell ref="BJ3:BJ5"/>
    <mergeCell ref="BK3:BK5"/>
    <mergeCell ref="BM3:BM5"/>
    <mergeCell ref="AW4:AW5"/>
    <mergeCell ref="BA2:BA5"/>
    <mergeCell ref="BB2:BB5"/>
    <mergeCell ref="BC2:BC5"/>
    <mergeCell ref="BM2:BO2"/>
    <mergeCell ref="BO3:BO5"/>
    <mergeCell ref="BD2:BD5"/>
    <mergeCell ref="BE2:BE5"/>
    <mergeCell ref="AX2:AX5"/>
    <mergeCell ref="AY2:AY5"/>
    <mergeCell ref="AZ2:AZ5"/>
    <mergeCell ref="BL3:BL5"/>
    <mergeCell ref="BJ2:BL2"/>
    <mergeCell ref="BF2:BF5"/>
    <mergeCell ref="BG2:BI4"/>
    <mergeCell ref="BN3:BN5"/>
    <mergeCell ref="AQ2:AQ5"/>
    <mergeCell ref="AJ2:AJ5"/>
    <mergeCell ref="AK2:AK5"/>
    <mergeCell ref="AL2:AL5"/>
    <mergeCell ref="N3:N5"/>
    <mergeCell ref="O3:O5"/>
    <mergeCell ref="P3:P5"/>
    <mergeCell ref="Q3:Q5"/>
    <mergeCell ref="AM2:AM5"/>
    <mergeCell ref="R2:AB2"/>
    <mergeCell ref="Z3:AB3"/>
    <mergeCell ref="Z4:Z5"/>
    <mergeCell ref="AA4:AB4"/>
    <mergeCell ref="AC2:AH2"/>
    <mergeCell ref="AH3:AH5"/>
    <mergeCell ref="AD3:AF3"/>
    <mergeCell ref="T4:T5"/>
    <mergeCell ref="N2:Q2"/>
    <mergeCell ref="U4:V4"/>
    <mergeCell ref="X4:Y4"/>
    <mergeCell ref="AC3:AC5"/>
    <mergeCell ref="AD4:AD5"/>
    <mergeCell ref="AE4:AF4"/>
    <mergeCell ref="A2:A5"/>
    <mergeCell ref="AO2:AO5"/>
    <mergeCell ref="AP2:AP5"/>
    <mergeCell ref="B2:B5"/>
    <mergeCell ref="C2:C5"/>
    <mergeCell ref="D2:D5"/>
    <mergeCell ref="E2:E5"/>
    <mergeCell ref="L2:M2"/>
    <mergeCell ref="F2:F5"/>
    <mergeCell ref="G2:G5"/>
    <mergeCell ref="H2:H5"/>
    <mergeCell ref="I2:I5"/>
    <mergeCell ref="J2:J5"/>
    <mergeCell ref="K2:K5"/>
    <mergeCell ref="AN2:AN5"/>
    <mergeCell ref="AG3:AG5"/>
    <mergeCell ref="L3:L5"/>
    <mergeCell ref="AI2:AI5"/>
    <mergeCell ref="M3:M5"/>
    <mergeCell ref="R4:S4"/>
    <mergeCell ref="R3:S3"/>
    <mergeCell ref="W3:Y3"/>
    <mergeCell ref="T3:V3"/>
    <mergeCell ref="W4:W5"/>
    <mergeCell ref="CM3:CO4"/>
    <mergeCell ref="BX2:BX5"/>
    <mergeCell ref="CG2:CH4"/>
    <mergeCell ref="CC2:CD4"/>
    <mergeCell ref="CE2:CF4"/>
    <mergeCell ref="BP2:BR2"/>
    <mergeCell ref="BV2:BV5"/>
    <mergeCell ref="BP3:BP5"/>
    <mergeCell ref="BQ3:BQ5"/>
    <mergeCell ref="BR3:BR5"/>
    <mergeCell ref="BS2:BT3"/>
    <mergeCell ref="CA2:CA5"/>
    <mergeCell ref="CB2:CB5"/>
    <mergeCell ref="BU2:BU5"/>
    <mergeCell ref="BW2:BW5"/>
    <mergeCell ref="BY2:BZ4"/>
  </mergeCells>
  <phoneticPr fontId="0" type="noConversion"/>
  <pageMargins left="0.23622047244094491" right="0.23622047244094491" top="0.23622047244094491" bottom="0.47244094488188981" header="0.19685039370078741" footer="0.27559055118110237"/>
  <pageSetup paperSize="9" scale="75" orientation="landscape" horizontalDpi="300" verticalDpi="300" r:id="rId1"/>
  <headerFooter alignWithMargins="0">
    <oddFooter>Страница &amp;P из &amp;N</oddFooter>
  </headerFooter>
  <ignoredErrors>
    <ignoredError sqref="K9:M9 K10:K21 K8:M8" unlockedFormula="1"/>
    <ignoredError sqref="L10:M17 L20:M21 L18:M18 L19:M19" formula="1" unlockedFormula="1"/>
    <ignoredError sqref="L29:M41 L22:M23 L24:M27" formula="1"/>
    <ignoredError sqref="G242:U248 G52:M53 G68:U176 G240:U240 AD240:AE248 AF248:AG248 AD54:AE66 G54:U66 AD68:AE176 AD201:AE216 G215:U21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sv</vt:lpstr>
      <vt:lpstr>sv!Заголовки_для_печати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JT210-2</cp:lastModifiedBy>
  <cp:lastPrinted>2019-12-13T09:53:33Z</cp:lastPrinted>
  <dcterms:created xsi:type="dcterms:W3CDTF">2002-12-06T08:51:45Z</dcterms:created>
  <dcterms:modified xsi:type="dcterms:W3CDTF">2021-04-07T02:08:10Z</dcterms:modified>
</cp:coreProperties>
</file>