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8075" windowHeight="12270" activeTab="0"/>
  </bookViews>
  <sheets>
    <sheet name="Содержание" sheetId="1" r:id="rId1"/>
    <sheet name="50 Лет_Л1" sheetId="2" r:id="rId2"/>
    <sheet name="50лет Окт_2" sheetId="3" r:id="rId3"/>
    <sheet name="Бег_39а" sheetId="4" r:id="rId4"/>
    <sheet name="Комс_1а" sheetId="5" r:id="rId5"/>
    <sheet name="Комс_3" sheetId="6" r:id="rId6"/>
    <sheet name="Комс_4" sheetId="7" r:id="rId7"/>
    <sheet name="Комс_7" sheetId="8" r:id="rId8"/>
    <sheet name="Комс_7а" sheetId="9" r:id="rId9"/>
    <sheet name="Комс_8" sheetId="10" r:id="rId10"/>
    <sheet name="Комс_9" sheetId="11" r:id="rId11"/>
    <sheet name="Комс_10" sheetId="12" r:id="rId12"/>
    <sheet name="Комс_11" sheetId="13" r:id="rId13"/>
    <sheet name="Комс_12" sheetId="14" r:id="rId14"/>
    <sheet name="Комс_14" sheetId="15" r:id="rId15"/>
    <sheet name="Комс_15 " sheetId="16" r:id="rId16"/>
    <sheet name="Комс_17" sheetId="17" r:id="rId17"/>
    <sheet name="Комс_18" sheetId="18" r:id="rId18"/>
    <sheet name="Комс_19" sheetId="19" r:id="rId19"/>
    <sheet name="Комс_20" sheetId="20" r:id="rId20"/>
    <sheet name="Комс_22" sheetId="21" r:id="rId21"/>
    <sheet name="Комс_23" sheetId="22" r:id="rId22"/>
    <sheet name="Комс_25" sheetId="23" r:id="rId23"/>
    <sheet name="Комс_27" sheetId="24" r:id="rId24"/>
    <sheet name="Кот_6" sheetId="25" r:id="rId25"/>
    <sheet name="Лаур_23" sheetId="26" r:id="rId26"/>
    <sheet name="Лаур_31" sheetId="27" r:id="rId27"/>
    <sheet name="Лаур_48" sheetId="28" r:id="rId28"/>
    <sheet name="Лаур_75" sheetId="29" r:id="rId29"/>
    <sheet name="Лаур_77" sheetId="30" r:id="rId30"/>
    <sheet name="Лаур_81" sheetId="31" r:id="rId31"/>
    <sheet name="Л_3" sheetId="32" r:id="rId32"/>
    <sheet name="Л_5" sheetId="33" r:id="rId33"/>
    <sheet name="Л_7" sheetId="34" r:id="rId34"/>
    <sheet name="Л_11" sheetId="35" r:id="rId35"/>
    <sheet name="Л_13" sheetId="36" r:id="rId36"/>
    <sheet name="Л_15" sheetId="37" r:id="rId37"/>
    <sheet name="Л_17" sheetId="38" r:id="rId38"/>
    <sheet name="Лен_46" sheetId="39" r:id="rId39"/>
    <sheet name="Мет_19" sheetId="40" r:id="rId40"/>
    <sheet name="Мет_25" sheetId="41" r:id="rId41"/>
    <sheet name="Мет_29" sheetId="42" r:id="rId42"/>
    <sheet name="Мих_6" sheetId="43" r:id="rId43"/>
    <sheet name="Мол_1" sheetId="44" r:id="rId44"/>
    <sheet name="Мол_5" sheetId="45" r:id="rId45"/>
    <sheet name="Мол_11" sheetId="46" r:id="rId46"/>
    <sheet name="Мол_15" sheetId="47" r:id="rId47"/>
    <sheet name="Мол_21" sheetId="48" r:id="rId48"/>
    <sheet name="Мол_25" sheetId="49" r:id="rId49"/>
    <sheet name="Моск_31" sheetId="50" r:id="rId50"/>
    <sheet name="Набер_33" sheetId="51" r:id="rId51"/>
    <sheet name="Набер_37" sheetId="52" r:id="rId52"/>
    <sheet name="Набер_39" sheetId="53" r:id="rId53"/>
    <sheet name="Набер_41" sheetId="54" r:id="rId54"/>
    <sheet name="Набер_45" sheetId="55" r:id="rId55"/>
    <sheet name="Набер_49" sheetId="56" r:id="rId56"/>
    <sheet name="Орд_19" sheetId="57" r:id="rId57"/>
    <sheet name="Сев_13" sheetId="58" r:id="rId58"/>
    <sheet name="Сов_4" sheetId="59" r:id="rId59"/>
    <sheet name="Сов_6" sheetId="60" r:id="rId60"/>
    <sheet name="Сов_8" sheetId="61" r:id="rId61"/>
    <sheet name="Тал_67" sheetId="62" r:id="rId62"/>
  </sheets>
  <definedNames>
    <definedName name="_xlnm.Print_Area" localSheetId="1">'50 Лет_Л1'!$A$1:$H$82</definedName>
    <definedName name="_xlnm.Print_Area" localSheetId="2">'50лет Окт_2'!$A$1:$H$82</definedName>
    <definedName name="_xlnm.Print_Area" localSheetId="3">'Бег_39а'!$A$1:$H$82</definedName>
    <definedName name="_xlnm.Print_Area" localSheetId="11">'Комс_10'!$A$1:$H$82</definedName>
    <definedName name="_xlnm.Print_Area" localSheetId="12">'Комс_11'!$A$1:$H$82</definedName>
    <definedName name="_xlnm.Print_Area" localSheetId="13">'Комс_12'!$A$1:$H$82</definedName>
    <definedName name="_xlnm.Print_Area" localSheetId="14">'Комс_14'!$A$1:$H$82</definedName>
    <definedName name="_xlnm.Print_Area" localSheetId="15">'Комс_15 '!$A$1:$H$82</definedName>
    <definedName name="_xlnm.Print_Area" localSheetId="16">'Комс_17'!$A$1:$H$82</definedName>
    <definedName name="_xlnm.Print_Area" localSheetId="17">'Комс_18'!$A$1:$H$82</definedName>
    <definedName name="_xlnm.Print_Area" localSheetId="18">'Комс_19'!$A$1:$H$82</definedName>
    <definedName name="_xlnm.Print_Area" localSheetId="4">'Комс_1а'!$A$1:$H$82</definedName>
    <definedName name="_xlnm.Print_Area" localSheetId="19">'Комс_20'!$A$1:$H$82</definedName>
    <definedName name="_xlnm.Print_Area" localSheetId="20">'Комс_22'!$A$1:$H$82</definedName>
    <definedName name="_xlnm.Print_Area" localSheetId="21">'Комс_23'!$A$1:$H$82</definedName>
    <definedName name="_xlnm.Print_Area" localSheetId="22">'Комс_25'!$A$1:$H$82</definedName>
    <definedName name="_xlnm.Print_Area" localSheetId="23">'Комс_27'!$A$1:$H$82</definedName>
    <definedName name="_xlnm.Print_Area" localSheetId="5">'Комс_3'!$A$1:$H$82</definedName>
    <definedName name="_xlnm.Print_Area" localSheetId="6">'Комс_4'!$A$1:$H$82</definedName>
    <definedName name="_xlnm.Print_Area" localSheetId="7">'Комс_7'!$A$1:$H$82</definedName>
    <definedName name="_xlnm.Print_Area" localSheetId="8">'Комс_7а'!$A$1:$H$82</definedName>
    <definedName name="_xlnm.Print_Area" localSheetId="9">'Комс_8'!$A$1:$H$82</definedName>
    <definedName name="_xlnm.Print_Area" localSheetId="10">'Комс_9'!$A$1:$H$82</definedName>
    <definedName name="_xlnm.Print_Area" localSheetId="24">'Кот_6'!$A$1:$H$82</definedName>
    <definedName name="_xlnm.Print_Area" localSheetId="34">'Л_11'!$A$1:$H$82</definedName>
    <definedName name="_xlnm.Print_Area" localSheetId="35">'Л_13'!$A$1:$G$82</definedName>
    <definedName name="_xlnm.Print_Area" localSheetId="36">'Л_15'!$A$1:$H$82</definedName>
    <definedName name="_xlnm.Print_Area" localSheetId="37">'Л_17'!$A$1:$H$82</definedName>
    <definedName name="_xlnm.Print_Area" localSheetId="31">'Л_3'!$A$1:$H$82</definedName>
    <definedName name="_xlnm.Print_Area" localSheetId="32">'Л_5'!$A$1:$H$82</definedName>
    <definedName name="_xlnm.Print_Area" localSheetId="33">'Л_7'!$A$1:$H$82</definedName>
    <definedName name="_xlnm.Print_Area" localSheetId="25">'Лаур_23'!$A$1:$H$82</definedName>
    <definedName name="_xlnm.Print_Area" localSheetId="26">'Лаур_31'!$A$1:$H$82</definedName>
    <definedName name="_xlnm.Print_Area" localSheetId="27">'Лаур_48'!$A$1:$H$82</definedName>
    <definedName name="_xlnm.Print_Area" localSheetId="28">'Лаур_75'!$A$1:$H$82</definedName>
    <definedName name="_xlnm.Print_Area" localSheetId="29">'Лаур_77'!$A$1:$H$85</definedName>
    <definedName name="_xlnm.Print_Area" localSheetId="30">'Лаур_81'!$A$1:$H$82</definedName>
    <definedName name="_xlnm.Print_Area" localSheetId="38">'Лен_46'!$A$1:$H$82</definedName>
    <definedName name="_xlnm.Print_Area" localSheetId="39">'Мет_19'!$A$1:$H$82</definedName>
    <definedName name="_xlnm.Print_Area" localSheetId="40">'Мет_25'!$A$1:$H$82</definedName>
    <definedName name="_xlnm.Print_Area" localSheetId="41">'Мет_29'!$A$1:$H$82</definedName>
    <definedName name="_xlnm.Print_Area" localSheetId="42">'Мих_6'!$A$1:$H$82</definedName>
    <definedName name="_xlnm.Print_Area" localSheetId="43">'Мол_1'!$A$1:$H$82</definedName>
    <definedName name="_xlnm.Print_Area" localSheetId="45">'Мол_11'!$A$1:$H$82</definedName>
    <definedName name="_xlnm.Print_Area" localSheetId="46">'Мол_15'!$A$1:$H$82</definedName>
    <definedName name="_xlnm.Print_Area" localSheetId="47">'Мол_21'!$A$1:$H$82</definedName>
    <definedName name="_xlnm.Print_Area" localSheetId="48">'Мол_25'!$A$1:$H$82</definedName>
    <definedName name="_xlnm.Print_Area" localSheetId="44">'Мол_5'!$A$1:$H$82</definedName>
    <definedName name="_xlnm.Print_Area" localSheetId="49">'Моск_31'!$A$1:$H$82</definedName>
    <definedName name="_xlnm.Print_Area" localSheetId="50">'Набер_33'!$A$1:$H$82</definedName>
    <definedName name="_xlnm.Print_Area" localSheetId="51">'Набер_37'!$A$1:$H$82</definedName>
    <definedName name="_xlnm.Print_Area" localSheetId="52">'Набер_39'!$A$1:$H$82</definedName>
    <definedName name="_xlnm.Print_Area" localSheetId="53">'Набер_41'!$A$1:$H$82</definedName>
    <definedName name="_xlnm.Print_Area" localSheetId="54">'Набер_45'!$A$1:$H$82</definedName>
    <definedName name="_xlnm.Print_Area" localSheetId="55">'Набер_49'!$A$1:$H$82</definedName>
    <definedName name="_xlnm.Print_Area" localSheetId="56">'Орд_19'!$A$1:$H$82</definedName>
    <definedName name="_xlnm.Print_Area" localSheetId="57">'Сев_13'!$A$1:$H$82</definedName>
    <definedName name="_xlnm.Print_Area" localSheetId="58">'Сов_4'!$A$1:$H$82</definedName>
    <definedName name="_xlnm.Print_Area" localSheetId="59">'Сов_6'!$A$1:$H$82</definedName>
    <definedName name="_xlnm.Print_Area" localSheetId="60">'Сов_8'!$A$1:$H$82</definedName>
    <definedName name="_xlnm.Print_Area" localSheetId="61">'Тал_67'!$A$1:$H$82</definedName>
  </definedNames>
  <calcPr fullCalcOnLoad="1"/>
</workbook>
</file>

<file path=xl/comments27.xml><?xml version="1.0" encoding="utf-8"?>
<comments xmlns="http://schemas.openxmlformats.org/spreadsheetml/2006/main">
  <authors>
    <author>Автор</author>
  </authors>
  <commentList>
    <comment ref="E7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+ краткосроч. аренда</t>
        </r>
      </text>
    </comment>
  </commentList>
</comments>
</file>

<file path=xl/comments28.xml><?xml version="1.0" encoding="utf-8"?>
<comments xmlns="http://schemas.openxmlformats.org/spreadsheetml/2006/main">
  <authors>
    <author>Автор</author>
  </authors>
  <commentList>
    <comment ref="C5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 расчета (письма Колесникову) = расх.в месяц*3 мес</t>
        </r>
      </text>
    </comment>
  </commentList>
</comments>
</file>

<file path=xl/comments42.xml><?xml version="1.0" encoding="utf-8"?>
<comments xmlns="http://schemas.openxmlformats.org/spreadsheetml/2006/main">
  <authors>
    <author>Автор</author>
  </authors>
  <commentList>
    <comment ref="E7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+ краткоср.аренда</t>
        </r>
      </text>
    </comment>
  </commentList>
</comments>
</file>

<file path=xl/comments43.xml><?xml version="1.0" encoding="utf-8"?>
<comments xmlns="http://schemas.openxmlformats.org/spreadsheetml/2006/main">
  <authors>
    <author>Автор</author>
  </authors>
  <commentList>
    <comment ref="E7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краткосроч. аренда</t>
        </r>
      </text>
    </comment>
  </commentList>
</comments>
</file>

<file path=xl/sharedStrings.xml><?xml version="1.0" encoding="utf-8"?>
<sst xmlns="http://schemas.openxmlformats.org/spreadsheetml/2006/main" count="8666" uniqueCount="174">
  <si>
    <t>ОТРЫВНОЙ ТАЛОН</t>
  </si>
  <si>
    <t>Адрес</t>
  </si>
  <si>
    <t>г. Норильск</t>
  </si>
  <si>
    <t>дом</t>
  </si>
  <si>
    <t>Решение собственника помещения при проведении общего собрания собственников дома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форме заочного голосования)</t>
  </si>
  <si>
    <t>№ п/п</t>
  </si>
  <si>
    <t>Ф.И.О.  собственника</t>
  </si>
  <si>
    <t>Доля собственности в квартире</t>
  </si>
  <si>
    <t xml:space="preserve">Вопрос на голосование: признать работу УК
  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 </t>
  </si>
  <si>
    <t>Подпись</t>
  </si>
  <si>
    <t>В случае, если собственник не возвратил отрывной талон с решением собственника или его не заполнил, УК ООО "Жилищный трест" считает, что отчет за 2012 год принят, работа признана удовлетворительной</t>
  </si>
  <si>
    <t>Дата  "_______" ____________________2013г.</t>
  </si>
  <si>
    <t>Отчет о выполнении договора управления  многоквартирным домом направлен для утверждения путем заочного голосования.                                                Просим заполнить отрывной талон с решением собственника помещения  и вернуть в УК ООО "Жилищный трест" по следующим адресам: лично - в приемную ул.Завенягина д.3 либо по почте - 663300   г.  Норильск   ул. Завенягина д.3, ООО"Жилищный трест"</t>
  </si>
  <si>
    <r>
      <t>……………………………………………………………………..</t>
    </r>
    <r>
      <rPr>
        <b/>
        <sz val="12"/>
        <rFont val="Arial"/>
        <family val="2"/>
      </rPr>
      <t>…</t>
    </r>
    <r>
      <rPr>
        <b/>
        <sz val="16"/>
        <rFont val="Arial"/>
        <family val="2"/>
      </rPr>
      <t>………………………………………………………………………………..</t>
    </r>
  </si>
  <si>
    <t>Отчет УК  ООО "Жилищный трест" за 2012 год</t>
  </si>
  <si>
    <t>О выполнении договора управления многоквартирным домом расположенного по адресу:</t>
  </si>
  <si>
    <t>ул.</t>
  </si>
  <si>
    <t>50 лет Октября/ пр. Ленинский</t>
  </si>
  <si>
    <t>кв.</t>
  </si>
  <si>
    <t>Задолженность населения на 01.01.2012 года:</t>
  </si>
  <si>
    <t>тыс.руб.</t>
  </si>
  <si>
    <t>в т.ч. - Жилищная услуга</t>
  </si>
  <si>
    <t xml:space="preserve">          - Коммунальные услуги</t>
  </si>
  <si>
    <t xml:space="preserve">          - Капитальный ремонт</t>
  </si>
  <si>
    <t>№п/п</t>
  </si>
  <si>
    <t>Вид показателя</t>
  </si>
  <si>
    <t>Фактические расходы Управляющей компании за 2012год</t>
  </si>
  <si>
    <t>Начислено населению за 2012 год</t>
  </si>
  <si>
    <t>Оплачено в 2012году</t>
  </si>
  <si>
    <t>Долг населения                за 2012 год</t>
  </si>
  <si>
    <t>сумма. тыс.руб. в год</t>
  </si>
  <si>
    <t>сумма, тыс.руб. в год</t>
  </si>
  <si>
    <t xml:space="preserve">населением, тыс.руб. в год </t>
  </si>
  <si>
    <t>субсидии за пустующ.пом-я, тыс.руб. в год</t>
  </si>
  <si>
    <t>I.</t>
  </si>
  <si>
    <t>Жилищная услуга, в т.ч.:</t>
  </si>
  <si>
    <t>1.</t>
  </si>
  <si>
    <t>Текущий ремонт жилищного фонда</t>
  </si>
  <si>
    <t>в том числе:</t>
  </si>
  <si>
    <t>Объем</t>
  </si>
  <si>
    <t>Сумма тыс.руб.</t>
  </si>
  <si>
    <t>1.1</t>
  </si>
  <si>
    <t>Ремонт металлической кровли</t>
  </si>
  <si>
    <t>1.2</t>
  </si>
  <si>
    <t>Противопожарная окраска деревянных конструкций кровли</t>
  </si>
  <si>
    <t>1.3</t>
  </si>
  <si>
    <t>Окраска металлической кровли</t>
  </si>
  <si>
    <t>1.4</t>
  </si>
  <si>
    <t>Ремонт рулонной кровли</t>
  </si>
  <si>
    <t>1.5</t>
  </si>
  <si>
    <t xml:space="preserve">Ремонт стяжки  чердачных перекрытий </t>
  </si>
  <si>
    <t>1.6</t>
  </si>
  <si>
    <t>Ремонт цокольной забирки</t>
  </si>
  <si>
    <t>1.7</t>
  </si>
  <si>
    <t>Герметизация стыков стеновых панелей</t>
  </si>
  <si>
    <t>1.8</t>
  </si>
  <si>
    <t>Ремонт дверных заполнений</t>
  </si>
  <si>
    <t>1.9</t>
  </si>
  <si>
    <t>Ремонт крылец</t>
  </si>
  <si>
    <t>- ремонт бетонной стяжки</t>
  </si>
  <si>
    <t>- ремонт ступеней</t>
  </si>
  <si>
    <t>- ремонт металлических ограждений</t>
  </si>
  <si>
    <t>1.10</t>
  </si>
  <si>
    <t>Теплоцентров (общестроит.)</t>
  </si>
  <si>
    <t>1.11</t>
  </si>
  <si>
    <t>Подъездов</t>
  </si>
  <si>
    <t>1.12</t>
  </si>
  <si>
    <t>Коридоров в ДГТ</t>
  </si>
  <si>
    <t>1.13</t>
  </si>
  <si>
    <t>Мусорокамер</t>
  </si>
  <si>
    <t>1.14</t>
  </si>
  <si>
    <t>Мусоросборников</t>
  </si>
  <si>
    <t>1.15</t>
  </si>
  <si>
    <t>Ремонт отмосток</t>
  </si>
  <si>
    <t>1.16</t>
  </si>
  <si>
    <t>Систем ТВС (стал.трубы - внутриквартирные,разводка)</t>
  </si>
  <si>
    <t>1.17</t>
  </si>
  <si>
    <t>Ремонт теплоизоляции трубопроводов</t>
  </si>
  <si>
    <t>1.18</t>
  </si>
  <si>
    <t>Замена и ремонт  неисправных участков эл/сети зданий ( в т.ч. Рубильников,щитов, светильников и.т.д.)</t>
  </si>
  <si>
    <t>1.19</t>
  </si>
  <si>
    <t>Прочие</t>
  </si>
  <si>
    <t>2.</t>
  </si>
  <si>
    <t>Содержание  общего имущества:</t>
  </si>
  <si>
    <t>2.1</t>
  </si>
  <si>
    <t>Технический надзор</t>
  </si>
  <si>
    <t>2.2</t>
  </si>
  <si>
    <t>Техническое обслуживание лифтов</t>
  </si>
  <si>
    <t>2.3</t>
  </si>
  <si>
    <t>Подготовка к сезонной эксплуатации</t>
  </si>
  <si>
    <t>2.4</t>
  </si>
  <si>
    <t>Аварийное обслуживание</t>
  </si>
  <si>
    <t>2.5</t>
  </si>
  <si>
    <t>Санитарная очистка подъездов и придомовой территории</t>
  </si>
  <si>
    <t>2.6</t>
  </si>
  <si>
    <t>Механизированная очистка территории</t>
  </si>
  <si>
    <t>2.7</t>
  </si>
  <si>
    <t>Обеспечение освещения мест общего пользования</t>
  </si>
  <si>
    <t>2.8</t>
  </si>
  <si>
    <t>Вывоз бытового мусора</t>
  </si>
  <si>
    <t>2.9</t>
  </si>
  <si>
    <t>Содержание вахты</t>
  </si>
  <si>
    <t>2.10</t>
  </si>
  <si>
    <t>Содержание коллективных антенн общего пользования</t>
  </si>
  <si>
    <t>2.11</t>
  </si>
  <si>
    <t>Содержание и ремонт общедомовых приборов учета электроэнергии</t>
  </si>
  <si>
    <t>2.12</t>
  </si>
  <si>
    <t>Содержание и ремонт домофонов</t>
  </si>
  <si>
    <t>Справочно</t>
  </si>
  <si>
    <t>Сумма остатка средств по текущему ремонту на следующий период: (оплачено населением+субсидии-Расходы УК)</t>
  </si>
  <si>
    <t>остаток средств (+)/ перерасход (-)</t>
  </si>
  <si>
    <t>II.</t>
  </si>
  <si>
    <t>Коммунальные  услуги (население):</t>
  </si>
  <si>
    <t xml:space="preserve"> в т.ч. Отопление</t>
  </si>
  <si>
    <t xml:space="preserve">           Горячая вода</t>
  </si>
  <si>
    <t xml:space="preserve">           Холодная вода</t>
  </si>
  <si>
    <t xml:space="preserve">           Водоотведение</t>
  </si>
  <si>
    <t xml:space="preserve">           Электроэнергия</t>
  </si>
  <si>
    <t>III.</t>
  </si>
  <si>
    <t>Всего по населению:</t>
  </si>
  <si>
    <t>IY.</t>
  </si>
  <si>
    <r>
      <t>Капитальный ремонт общего имущества</t>
    </r>
    <r>
      <rPr>
        <b/>
        <sz val="12"/>
        <color indexed="8"/>
        <rFont val="Arial"/>
        <family val="2"/>
      </rPr>
      <t>:</t>
    </r>
  </si>
  <si>
    <t>собственники жилых помещений</t>
  </si>
  <si>
    <t>собственники нежилых помещений</t>
  </si>
  <si>
    <t xml:space="preserve">Накопленные средства по капитальному ремонту на 01.01.2013 года: </t>
  </si>
  <si>
    <t>Y.</t>
  </si>
  <si>
    <r>
      <t>Нежилые помещения</t>
    </r>
    <r>
      <rPr>
        <sz val="12"/>
        <color indexed="8"/>
        <rFont val="Arial"/>
        <family val="2"/>
      </rPr>
      <t xml:space="preserve"> (комплексно-техническое обслуживание):</t>
    </r>
  </si>
  <si>
    <t>YI.</t>
  </si>
  <si>
    <t>Задолженность населения  (+)/(-)аванс по оплате на 01.01.2013г., тыс.руб.:</t>
  </si>
  <si>
    <t>в т.ч. - за жилищную услугу</t>
  </si>
  <si>
    <t xml:space="preserve">            - за коммунальную услугу</t>
  </si>
  <si>
    <t xml:space="preserve">            - за капитальный ремонт</t>
  </si>
  <si>
    <t>Генеральный директор УК  ООО "Жилищный трест"</t>
  </si>
  <si>
    <t xml:space="preserve">Т.Г. Смирнова </t>
  </si>
  <si>
    <t>М.П.</t>
  </si>
  <si>
    <t>Решение собственника помещения при проведении общего собрания собственников дома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в форме заочного голосования)</t>
  </si>
  <si>
    <t xml:space="preserve">Вопрос на голосование: признать работу УК 
 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 </t>
  </si>
  <si>
    <t>Отчет о выполнении договора управления  многоквартирным домом направлен для утверждения путем заочного голосования. Просим заполнить отрывной талон с решением собственника помещения  и вернуть в УК ООО "Жилищный трест" по следующим адресам: лично - в приемную ул.Завенягина д.3 либо по почте - 663300,   г.Норильск,   ул. Завенягина д.3, ООО"Жилищный трест"</t>
  </si>
  <si>
    <r>
      <t>……………………………………………………………………..</t>
    </r>
    <r>
      <rPr>
        <b/>
        <sz val="12"/>
        <rFont val="Cambria"/>
        <family val="1"/>
      </rPr>
      <t>…</t>
    </r>
    <r>
      <rPr>
        <b/>
        <sz val="16"/>
        <rFont val="Cambria"/>
        <family val="1"/>
      </rPr>
      <t>………………………………………………………………………………..</t>
    </r>
  </si>
  <si>
    <t>50 ЛЕТ Октября</t>
  </si>
  <si>
    <t>Фактические расходы Управляющей компании за 2012 год</t>
  </si>
  <si>
    <t>Оплачено в 2012 году</t>
  </si>
  <si>
    <t>Бегичева</t>
  </si>
  <si>
    <t xml:space="preserve">Вопрос на голосование: признать работу УК  
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</t>
  </si>
  <si>
    <t>39 "А"</t>
  </si>
  <si>
    <t>Задолженность населения на 01.01.2012 года</t>
  </si>
  <si>
    <t>субсидии за пуст.пом-я, тыс.руб. в год</t>
  </si>
  <si>
    <r>
      <t xml:space="preserve">Нежилые помещения </t>
    </r>
    <r>
      <rPr>
        <sz val="12"/>
        <color indexed="8"/>
        <rFont val="Arial"/>
        <family val="2"/>
      </rPr>
      <t>(комплексно-техническое обслуживание)</t>
    </r>
  </si>
  <si>
    <t>Комсомольская</t>
  </si>
  <si>
    <t>1а</t>
  </si>
  <si>
    <t xml:space="preserve">Вопрос на голосование: признать работу УК  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 </t>
  </si>
  <si>
    <t>7а</t>
  </si>
  <si>
    <t xml:space="preserve">Вопрос на голосование: признать работу УК  
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 </t>
  </si>
  <si>
    <t xml:space="preserve">Вопрос на голосование: признать работу УК 
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 </t>
  </si>
  <si>
    <t>Котульского</t>
  </si>
  <si>
    <t>Сумма остатка средст по текущему ремонту на следующий период: (оплачено населением+субсидии-Расходы УК)</t>
  </si>
  <si>
    <t>ул. Лауреатов</t>
  </si>
  <si>
    <t xml:space="preserve">Вопрос на голосование: признать работу УК 
 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</t>
  </si>
  <si>
    <t>Лауреатов</t>
  </si>
  <si>
    <t>субсидии, тыс.руб. в год</t>
  </si>
  <si>
    <t>пр.</t>
  </si>
  <si>
    <t>Ленинский</t>
  </si>
  <si>
    <t xml:space="preserve">Вопрос на голосование: признать работу УК
 (нужно отметить)                                                                                                                                                                         (удовлетворительной, неудовлетворительной)   </t>
  </si>
  <si>
    <t>Металлургов</t>
  </si>
  <si>
    <t>Михайличенко</t>
  </si>
  <si>
    <t>Молодежный</t>
  </si>
  <si>
    <t>пр. Молодежный</t>
  </si>
  <si>
    <t>Московская</t>
  </si>
  <si>
    <t xml:space="preserve">Набережная Урванцева </t>
  </si>
  <si>
    <t>Орджоникидзе</t>
  </si>
  <si>
    <t>Севастопольская</t>
  </si>
  <si>
    <t>Советская</t>
  </si>
  <si>
    <t xml:space="preserve">Талнахская </t>
  </si>
  <si>
    <t>Содержание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</si>
</sst>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_р_._-;_-@_-"/>
    <numFmt numFmtId="165" formatCode="#,##0.00_ ;\-#,##0.00\ "/>
    <numFmt numFmtId="166" formatCode="_-* #,##0.0_р_._-;\-* #,##0.0_р_._-;_-* &quot;-&quot;??_р_.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b/>
      <sz val="13"/>
      <color indexed="8"/>
      <name val="Cambria"/>
      <family val="1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13"/>
      <color indexed="8"/>
      <name val="Cambria"/>
      <family val="1"/>
    </font>
    <font>
      <b/>
      <sz val="12"/>
      <color indexed="8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Times New Roman"/>
      <family val="1"/>
    </font>
    <font>
      <sz val="9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b/>
      <sz val="11"/>
      <color indexed="10"/>
      <name val="Cambria"/>
      <family val="1"/>
    </font>
    <font>
      <b/>
      <sz val="11.5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41" fillId="0" borderId="0">
      <alignment horizontal="left"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96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24" fillId="33" borderId="15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30" fillId="33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1" fillId="33" borderId="0" xfId="0" applyFont="1" applyFill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3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30" fillId="34" borderId="11" xfId="63" applyNumberFormat="1" applyFont="1" applyFill="1" applyBorder="1" applyAlignment="1">
      <alignment horizontal="center" vertical="center" wrapText="1"/>
    </xf>
    <xf numFmtId="43" fontId="30" fillId="34" borderId="11" xfId="63" applyFont="1" applyFill="1" applyBorder="1" applyAlignment="1">
      <alignment/>
    </xf>
    <xf numFmtId="43" fontId="18" fillId="34" borderId="11" xfId="63" applyFont="1" applyFill="1" applyBorder="1" applyAlignment="1">
      <alignment horizontal="center"/>
    </xf>
    <xf numFmtId="43" fontId="18" fillId="34" borderId="11" xfId="63" applyFont="1" applyFill="1" applyBorder="1" applyAlignment="1">
      <alignment/>
    </xf>
    <xf numFmtId="43" fontId="30" fillId="34" borderId="11" xfId="63" applyFont="1" applyFill="1" applyBorder="1" applyAlignment="1">
      <alignment horizontal="center"/>
    </xf>
    <xf numFmtId="49" fontId="30" fillId="35" borderId="11" xfId="63" applyNumberFormat="1" applyFont="1" applyFill="1" applyBorder="1" applyAlignment="1">
      <alignment horizontal="center" vertical="center" wrapText="1"/>
    </xf>
    <xf numFmtId="43" fontId="28" fillId="35" borderId="11" xfId="63" applyFont="1" applyFill="1" applyBorder="1" applyAlignment="1">
      <alignment/>
    </xf>
    <xf numFmtId="43" fontId="18" fillId="35" borderId="11" xfId="63" applyFont="1" applyFill="1" applyBorder="1" applyAlignment="1">
      <alignment horizontal="center"/>
    </xf>
    <xf numFmtId="43" fontId="18" fillId="35" borderId="11" xfId="63" applyFont="1" applyFill="1" applyBorder="1" applyAlignment="1">
      <alignment/>
    </xf>
    <xf numFmtId="43" fontId="30" fillId="35" borderId="11" xfId="63" applyFont="1" applyFill="1" applyBorder="1" applyAlignment="1">
      <alignment horizontal="center"/>
    </xf>
    <xf numFmtId="49" fontId="28" fillId="33" borderId="11" xfId="63" applyNumberFormat="1" applyFont="1" applyFill="1" applyBorder="1" applyAlignment="1">
      <alignment horizontal="center" vertical="center" wrapText="1"/>
    </xf>
    <xf numFmtId="43" fontId="28" fillId="33" borderId="11" xfId="63" applyFont="1" applyFill="1" applyBorder="1" applyAlignment="1">
      <alignment/>
    </xf>
    <xf numFmtId="43" fontId="34" fillId="33" borderId="11" xfId="63" applyFont="1" applyFill="1" applyBorder="1" applyAlignment="1">
      <alignment horizontal="center" wrapText="1"/>
    </xf>
    <xf numFmtId="43" fontId="22" fillId="33" borderId="11" xfId="63" applyFont="1" applyFill="1" applyBorder="1" applyAlignment="1">
      <alignment/>
    </xf>
    <xf numFmtId="43" fontId="33" fillId="33" borderId="11" xfId="63" applyFont="1" applyFill="1" applyBorder="1" applyAlignment="1">
      <alignment horizontal="center"/>
    </xf>
    <xf numFmtId="49" fontId="19" fillId="33" borderId="11" xfId="63" applyNumberFormat="1" applyFont="1" applyFill="1" applyBorder="1" applyAlignment="1">
      <alignment horizontal="center" vertical="center"/>
    </xf>
    <xf numFmtId="43" fontId="19" fillId="33" borderId="11" xfId="63" applyFont="1" applyFill="1" applyBorder="1" applyAlignment="1">
      <alignment wrapText="1"/>
    </xf>
    <xf numFmtId="43" fontId="26" fillId="33" borderId="11" xfId="63" applyFont="1" applyFill="1" applyBorder="1" applyAlignment="1">
      <alignment horizontal="center"/>
    </xf>
    <xf numFmtId="43" fontId="26" fillId="33" borderId="11" xfId="63" applyFont="1" applyFill="1" applyBorder="1" applyAlignment="1">
      <alignment/>
    </xf>
    <xf numFmtId="43" fontId="23" fillId="33" borderId="11" xfId="63" applyFont="1" applyFill="1" applyBorder="1" applyAlignment="1">
      <alignment horizontal="center"/>
    </xf>
    <xf numFmtId="49" fontId="28" fillId="35" borderId="11" xfId="63" applyNumberFormat="1" applyFont="1" applyFill="1" applyBorder="1" applyAlignment="1">
      <alignment horizontal="center" vertical="center" wrapText="1"/>
    </xf>
    <xf numFmtId="43" fontId="28" fillId="35" borderId="11" xfId="63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43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3" fontId="26" fillId="0" borderId="11" xfId="63" applyFont="1" applyBorder="1" applyAlignment="1">
      <alignment/>
    </xf>
    <xf numFmtId="43" fontId="23" fillId="0" borderId="11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wrapText="1"/>
    </xf>
    <xf numFmtId="43" fontId="26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43" fontId="26" fillId="33" borderId="20" xfId="63" applyFont="1" applyFill="1" applyBorder="1" applyAlignment="1">
      <alignment/>
    </xf>
    <xf numFmtId="43" fontId="26" fillId="0" borderId="20" xfId="63" applyFont="1" applyBorder="1" applyAlignment="1">
      <alignment/>
    </xf>
    <xf numFmtId="43" fontId="23" fillId="0" borderId="20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 vertical="center"/>
    </xf>
    <xf numFmtId="0" fontId="29" fillId="0" borderId="21" xfId="0" applyFont="1" applyFill="1" applyBorder="1" applyAlignment="1">
      <alignment wrapText="1"/>
    </xf>
    <xf numFmtId="43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43" fontId="24" fillId="0" borderId="21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0" fontId="30" fillId="34" borderId="22" xfId="0" applyFont="1" applyFill="1" applyBorder="1" applyAlignment="1">
      <alignment horizontal="center" vertical="center"/>
    </xf>
    <xf numFmtId="43" fontId="30" fillId="34" borderId="17" xfId="63" applyFont="1" applyFill="1" applyBorder="1" applyAlignment="1">
      <alignment/>
    </xf>
    <xf numFmtId="43" fontId="18" fillId="34" borderId="17" xfId="63" applyFont="1" applyFill="1" applyBorder="1" applyAlignment="1">
      <alignment horizontal="center"/>
    </xf>
    <xf numFmtId="43" fontId="18" fillId="34" borderId="17" xfId="63" applyFont="1" applyFill="1" applyBorder="1" applyAlignment="1">
      <alignment/>
    </xf>
    <xf numFmtId="43" fontId="18" fillId="34" borderId="17" xfId="63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Fill="1" applyBorder="1" applyAlignment="1">
      <alignment/>
    </xf>
    <xf numFmtId="43" fontId="26" fillId="0" borderId="11" xfId="63" applyFont="1" applyBorder="1" applyAlignment="1">
      <alignment horizontal="center"/>
    </xf>
    <xf numFmtId="43" fontId="26" fillId="0" borderId="11" xfId="0" applyNumberFormat="1" applyFont="1" applyBorder="1" applyAlignment="1">
      <alignment horizontal="right"/>
    </xf>
    <xf numFmtId="0" fontId="36" fillId="0" borderId="20" xfId="0" applyFont="1" applyBorder="1" applyAlignment="1">
      <alignment horizontal="center"/>
    </xf>
    <xf numFmtId="0" fontId="36" fillId="0" borderId="20" xfId="0" applyFont="1" applyFill="1" applyBorder="1" applyAlignment="1">
      <alignment/>
    </xf>
    <xf numFmtId="43" fontId="26" fillId="0" borderId="20" xfId="63" applyFont="1" applyBorder="1" applyAlignment="1">
      <alignment horizontal="center"/>
    </xf>
    <xf numFmtId="43" fontId="26" fillId="0" borderId="20" xfId="0" applyNumberFormat="1" applyFont="1" applyBorder="1" applyAlignment="1">
      <alignment horizontal="right"/>
    </xf>
    <xf numFmtId="0" fontId="28" fillId="34" borderId="23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 wrapText="1"/>
    </xf>
    <xf numFmtId="43" fontId="18" fillId="34" borderId="21" xfId="63" applyFont="1" applyFill="1" applyBorder="1" applyAlignment="1">
      <alignment horizontal="center"/>
    </xf>
    <xf numFmtId="43" fontId="18" fillId="34" borderId="23" xfId="63" applyFont="1" applyFill="1" applyBorder="1" applyAlignment="1">
      <alignment/>
    </xf>
    <xf numFmtId="43" fontId="18" fillId="34" borderId="23" xfId="63" applyFont="1" applyFill="1" applyBorder="1" applyAlignment="1">
      <alignment horizontal="center"/>
    </xf>
    <xf numFmtId="43" fontId="18" fillId="34" borderId="23" xfId="63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43" fontId="23" fillId="0" borderId="17" xfId="63" applyFont="1" applyBorder="1" applyAlignment="1">
      <alignment/>
    </xf>
    <xf numFmtId="43" fontId="37" fillId="0" borderId="11" xfId="63" applyFont="1" applyBorder="1" applyAlignment="1">
      <alignment horizontal="center"/>
    </xf>
    <xf numFmtId="43" fontId="23" fillId="0" borderId="11" xfId="63" applyFont="1" applyBorder="1" applyAlignment="1">
      <alignment/>
    </xf>
    <xf numFmtId="0" fontId="3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2" fontId="23" fillId="0" borderId="24" xfId="0" applyNumberFormat="1" applyFont="1" applyBorder="1" applyAlignment="1">
      <alignment horizontal="center"/>
    </xf>
    <xf numFmtId="2" fontId="23" fillId="0" borderId="25" xfId="0" applyNumberFormat="1" applyFont="1" applyBorder="1" applyAlignment="1">
      <alignment horizontal="center"/>
    </xf>
    <xf numFmtId="4" fontId="26" fillId="33" borderId="20" xfId="0" applyNumberFormat="1" applyFont="1" applyFill="1" applyBorder="1" applyAlignment="1">
      <alignment/>
    </xf>
    <xf numFmtId="43" fontId="28" fillId="0" borderId="20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2" fontId="23" fillId="0" borderId="20" xfId="0" applyNumberFormat="1" applyFont="1" applyBorder="1" applyAlignment="1">
      <alignment horizontal="center"/>
    </xf>
    <xf numFmtId="0" fontId="29" fillId="36" borderId="17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 horizontal="left" vertical="center" wrapText="1"/>
    </xf>
    <xf numFmtId="43" fontId="29" fillId="36" borderId="17" xfId="63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left" vertical="center" wrapText="1"/>
    </xf>
    <xf numFmtId="43" fontId="38" fillId="36" borderId="11" xfId="63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/>
    </xf>
    <xf numFmtId="43" fontId="39" fillId="0" borderId="0" xfId="63" applyFont="1" applyAlignment="1">
      <alignment/>
    </xf>
    <xf numFmtId="0" fontId="36" fillId="0" borderId="0" xfId="0" applyFont="1" applyAlignment="1">
      <alignment/>
    </xf>
    <xf numFmtId="43" fontId="36" fillId="0" borderId="0" xfId="63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4" fontId="31" fillId="33" borderId="0" xfId="0" applyNumberFormat="1" applyFont="1" applyFill="1" applyAlignment="1">
      <alignment/>
    </xf>
    <xf numFmtId="0" fontId="29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2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3" fontId="18" fillId="34" borderId="11" xfId="63" applyNumberFormat="1" applyFont="1" applyFill="1" applyBorder="1" applyAlignment="1">
      <alignment/>
    </xf>
    <xf numFmtId="0" fontId="50" fillId="0" borderId="0" xfId="0" applyFont="1" applyAlignment="1">
      <alignment wrapText="1"/>
    </xf>
    <xf numFmtId="43" fontId="51" fillId="0" borderId="0" xfId="63" applyFont="1" applyAlignment="1">
      <alignment/>
    </xf>
    <xf numFmtId="43" fontId="42" fillId="0" borderId="0" xfId="63" applyFont="1" applyAlignment="1">
      <alignment/>
    </xf>
    <xf numFmtId="0" fontId="52" fillId="0" borderId="21" xfId="0" applyFont="1" applyBorder="1" applyAlignment="1">
      <alignment horizontal="center" vertical="center"/>
    </xf>
    <xf numFmtId="0" fontId="53" fillId="0" borderId="21" xfId="0" applyFont="1" applyFill="1" applyBorder="1" applyAlignment="1">
      <alignment wrapText="1"/>
    </xf>
    <xf numFmtId="43" fontId="26" fillId="0" borderId="17" xfId="63" applyFont="1" applyBorder="1" applyAlignment="1">
      <alignment/>
    </xf>
    <xf numFmtId="0" fontId="53" fillId="0" borderId="21" xfId="0" applyFont="1" applyBorder="1" applyAlignment="1">
      <alignment horizontal="center"/>
    </xf>
    <xf numFmtId="0" fontId="30" fillId="34" borderId="23" xfId="0" applyFont="1" applyFill="1" applyBorder="1" applyAlignment="1">
      <alignment horizontal="center" vertical="center"/>
    </xf>
    <xf numFmtId="43" fontId="30" fillId="34" borderId="21" xfId="63" applyFont="1" applyFill="1" applyBorder="1" applyAlignment="1">
      <alignment/>
    </xf>
    <xf numFmtId="43" fontId="18" fillId="34" borderId="21" xfId="63" applyFont="1" applyFill="1" applyBorder="1" applyAlignment="1">
      <alignment/>
    </xf>
    <xf numFmtId="43" fontId="30" fillId="34" borderId="21" xfId="63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43" fontId="26" fillId="0" borderId="17" xfId="63" applyFont="1" applyBorder="1" applyAlignment="1">
      <alignment horizontal="center"/>
    </xf>
    <xf numFmtId="43" fontId="26" fillId="33" borderId="17" xfId="63" applyFont="1" applyFill="1" applyBorder="1" applyAlignment="1">
      <alignment/>
    </xf>
    <xf numFmtId="43" fontId="26" fillId="0" borderId="17" xfId="0" applyNumberFormat="1" applyFont="1" applyBorder="1" applyAlignment="1">
      <alignment horizontal="right"/>
    </xf>
    <xf numFmtId="0" fontId="19" fillId="0" borderId="20" xfId="0" applyFont="1" applyFill="1" applyBorder="1" applyAlignment="1">
      <alignment/>
    </xf>
    <xf numFmtId="0" fontId="30" fillId="34" borderId="2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43" fontId="37" fillId="0" borderId="17" xfId="63" applyFont="1" applyBorder="1" applyAlignment="1">
      <alignment horizontal="center"/>
    </xf>
    <xf numFmtId="0" fontId="54" fillId="0" borderId="11" xfId="0" applyFont="1" applyFill="1" applyBorder="1" applyAlignment="1">
      <alignment/>
    </xf>
    <xf numFmtId="43" fontId="23" fillId="0" borderId="11" xfId="0" applyNumberFormat="1" applyFont="1" applyBorder="1" applyAlignment="1">
      <alignment horizontal="right"/>
    </xf>
    <xf numFmtId="4" fontId="30" fillId="34" borderId="20" xfId="0" applyNumberFormat="1" applyFont="1" applyFill="1" applyBorder="1" applyAlignment="1">
      <alignment/>
    </xf>
    <xf numFmtId="0" fontId="28" fillId="36" borderId="17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horizontal="left" vertical="center" wrapText="1"/>
    </xf>
    <xf numFmtId="2" fontId="28" fillId="36" borderId="17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left" vertical="center" wrapText="1"/>
    </xf>
    <xf numFmtId="2" fontId="55" fillId="36" borderId="11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63" applyFont="1" applyAlignment="1">
      <alignment/>
    </xf>
    <xf numFmtId="0" fontId="56" fillId="0" borderId="0" xfId="0" applyFont="1" applyAlignment="1">
      <alignment/>
    </xf>
    <xf numFmtId="0" fontId="22" fillId="33" borderId="12" xfId="0" applyNumberFormat="1" applyFont="1" applyFill="1" applyBorder="1" applyAlignment="1">
      <alignment horizontal="center" vertical="center" wrapText="1"/>
    </xf>
    <xf numFmtId="0" fontId="22" fillId="33" borderId="13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" fontId="18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4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3" fontId="18" fillId="34" borderId="12" xfId="63" applyFont="1" applyFill="1" applyBorder="1" applyAlignment="1">
      <alignment horizontal="center"/>
    </xf>
    <xf numFmtId="43" fontId="18" fillId="34" borderId="14" xfId="63" applyFont="1" applyFill="1" applyBorder="1" applyAlignment="1">
      <alignment horizontal="center"/>
    </xf>
    <xf numFmtId="0" fontId="57" fillId="0" borderId="0" xfId="0" applyFont="1" applyAlignment="1">
      <alignment/>
    </xf>
    <xf numFmtId="43" fontId="18" fillId="35" borderId="12" xfId="63" applyFont="1" applyFill="1" applyBorder="1" applyAlignment="1">
      <alignment horizontal="center"/>
    </xf>
    <xf numFmtId="43" fontId="18" fillId="35" borderId="14" xfId="63" applyFont="1" applyFill="1" applyBorder="1" applyAlignment="1">
      <alignment horizontal="center"/>
    </xf>
    <xf numFmtId="43" fontId="26" fillId="0" borderId="12" xfId="0" applyNumberFormat="1" applyFont="1" applyBorder="1" applyAlignment="1">
      <alignment horizontal="center"/>
    </xf>
    <xf numFmtId="43" fontId="26" fillId="0" borderId="14" xfId="0" applyNumberFormat="1" applyFont="1" applyBorder="1" applyAlignment="1">
      <alignment horizontal="center"/>
    </xf>
    <xf numFmtId="43" fontId="26" fillId="0" borderId="24" xfId="0" applyNumberFormat="1" applyFont="1" applyBorder="1" applyAlignment="1">
      <alignment horizontal="center"/>
    </xf>
    <xf numFmtId="43" fontId="26" fillId="0" borderId="25" xfId="0" applyNumberFormat="1" applyFont="1" applyBorder="1" applyAlignment="1">
      <alignment horizontal="center"/>
    </xf>
    <xf numFmtId="0" fontId="52" fillId="0" borderId="20" xfId="0" applyFont="1" applyBorder="1" applyAlignment="1">
      <alignment horizontal="center" vertical="center"/>
    </xf>
    <xf numFmtId="0" fontId="53" fillId="0" borderId="20" xfId="0" applyFont="1" applyFill="1" applyBorder="1" applyAlignment="1">
      <alignment wrapText="1"/>
    </xf>
    <xf numFmtId="165" fontId="54" fillId="0" borderId="21" xfId="0" applyNumberFormat="1" applyFont="1" applyBorder="1" applyAlignment="1">
      <alignment horizontal="center"/>
    </xf>
    <xf numFmtId="43" fontId="53" fillId="0" borderId="20" xfId="0" applyNumberFormat="1" applyFont="1" applyBorder="1" applyAlignment="1">
      <alignment/>
    </xf>
    <xf numFmtId="0" fontId="53" fillId="0" borderId="20" xfId="0" applyFont="1" applyBorder="1" applyAlignment="1">
      <alignment horizontal="center"/>
    </xf>
    <xf numFmtId="43" fontId="18" fillId="34" borderId="26" xfId="63" applyFont="1" applyFill="1" applyBorder="1" applyAlignment="1">
      <alignment horizontal="center"/>
    </xf>
    <xf numFmtId="43" fontId="18" fillId="34" borderId="27" xfId="63" applyFont="1" applyFill="1" applyBorder="1" applyAlignment="1">
      <alignment horizontal="center"/>
    </xf>
    <xf numFmtId="43" fontId="26" fillId="0" borderId="28" xfId="63" applyFont="1" applyBorder="1" applyAlignment="1">
      <alignment horizontal="center"/>
    </xf>
    <xf numFmtId="43" fontId="26" fillId="0" borderId="29" xfId="63" applyFont="1" applyBorder="1" applyAlignment="1">
      <alignment horizontal="center"/>
    </xf>
    <xf numFmtId="43" fontId="23" fillId="33" borderId="17" xfId="63" applyFont="1" applyFill="1" applyBorder="1" applyAlignment="1">
      <alignment/>
    </xf>
    <xf numFmtId="43" fontId="23" fillId="0" borderId="17" xfId="0" applyNumberFormat="1" applyFont="1" applyBorder="1" applyAlignment="1">
      <alignment horizontal="right"/>
    </xf>
    <xf numFmtId="43" fontId="26" fillId="0" borderId="12" xfId="63" applyFont="1" applyBorder="1" applyAlignment="1">
      <alignment horizontal="center"/>
    </xf>
    <xf numFmtId="43" fontId="26" fillId="0" borderId="14" xfId="63" applyFont="1" applyBorder="1" applyAlignment="1">
      <alignment horizontal="center"/>
    </xf>
    <xf numFmtId="43" fontId="23" fillId="33" borderId="11" xfId="63" applyFont="1" applyFill="1" applyBorder="1" applyAlignment="1">
      <alignment/>
    </xf>
    <xf numFmtId="43" fontId="23" fillId="33" borderId="20" xfId="63" applyFont="1" applyFill="1" applyBorder="1" applyAlignment="1">
      <alignment/>
    </xf>
    <xf numFmtId="43" fontId="23" fillId="0" borderId="20" xfId="63" applyFont="1" applyBorder="1" applyAlignment="1">
      <alignment/>
    </xf>
    <xf numFmtId="43" fontId="23" fillId="0" borderId="20" xfId="0" applyNumberFormat="1" applyFont="1" applyBorder="1" applyAlignment="1">
      <alignment horizontal="right"/>
    </xf>
    <xf numFmtId="0" fontId="30" fillId="34" borderId="23" xfId="0" applyFont="1" applyFill="1" applyBorder="1" applyAlignment="1">
      <alignment vertical="center" wrapText="1"/>
    </xf>
    <xf numFmtId="43" fontId="30" fillId="34" borderId="23" xfId="63" applyFont="1" applyFill="1" applyBorder="1" applyAlignment="1">
      <alignment/>
    </xf>
    <xf numFmtId="43" fontId="30" fillId="34" borderId="23" xfId="63" applyFont="1" applyFill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43" fontId="21" fillId="34" borderId="26" xfId="63" applyFont="1" applyFill="1" applyBorder="1" applyAlignment="1">
      <alignment horizontal="center" vertical="center"/>
    </xf>
    <xf numFmtId="43" fontId="21" fillId="34" borderId="27" xfId="63" applyFont="1" applyFill="1" applyBorder="1" applyAlignment="1">
      <alignment horizontal="center" vertical="center"/>
    </xf>
    <xf numFmtId="43" fontId="28" fillId="34" borderId="23" xfId="63" applyFont="1" applyFill="1" applyBorder="1" applyAlignment="1">
      <alignment vertical="center"/>
    </xf>
    <xf numFmtId="43" fontId="28" fillId="34" borderId="23" xfId="63" applyFont="1" applyFill="1" applyBorder="1" applyAlignment="1">
      <alignment horizontal="center" vertical="center"/>
    </xf>
    <xf numFmtId="43" fontId="28" fillId="36" borderId="17" xfId="63" applyFont="1" applyFill="1" applyBorder="1" applyAlignment="1">
      <alignment horizontal="center"/>
    </xf>
    <xf numFmtId="43" fontId="55" fillId="36" borderId="11" xfId="63" applyFont="1" applyFill="1" applyBorder="1" applyAlignment="1">
      <alignment horizontal="center"/>
    </xf>
    <xf numFmtId="43" fontId="23" fillId="33" borderId="20" xfId="0" applyNumberFormat="1" applyFont="1" applyFill="1" applyBorder="1" applyAlignment="1">
      <alignment horizontal="center"/>
    </xf>
    <xf numFmtId="43" fontId="29" fillId="0" borderId="21" xfId="0" applyNumberFormat="1" applyFont="1" applyBorder="1" applyAlignment="1">
      <alignment/>
    </xf>
    <xf numFmtId="0" fontId="29" fillId="0" borderId="21" xfId="0" applyFont="1" applyBorder="1" applyAlignment="1">
      <alignment horizontal="center"/>
    </xf>
    <xf numFmtId="43" fontId="30" fillId="34" borderId="17" xfId="63" applyFont="1" applyFill="1" applyBorder="1" applyAlignment="1">
      <alignment horizontal="center"/>
    </xf>
    <xf numFmtId="0" fontId="30" fillId="34" borderId="21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4" fontId="47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28" fillId="0" borderId="1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43" fontId="51" fillId="0" borderId="0" xfId="63" applyFont="1" applyFill="1" applyAlignment="1">
      <alignment/>
    </xf>
    <xf numFmtId="43" fontId="42" fillId="0" borderId="0" xfId="63" applyFont="1" applyFill="1" applyAlignment="1">
      <alignment/>
    </xf>
    <xf numFmtId="43" fontId="26" fillId="0" borderId="17" xfId="63" applyFont="1" applyFill="1" applyBorder="1" applyAlignment="1">
      <alignment horizontal="center"/>
    </xf>
    <xf numFmtId="43" fontId="26" fillId="0" borderId="17" xfId="63" applyFont="1" applyFill="1" applyBorder="1" applyAlignment="1">
      <alignment/>
    </xf>
    <xf numFmtId="43" fontId="26" fillId="0" borderId="17" xfId="0" applyNumberFormat="1" applyFont="1" applyFill="1" applyBorder="1" applyAlignment="1">
      <alignment horizontal="right"/>
    </xf>
    <xf numFmtId="43" fontId="26" fillId="0" borderId="11" xfId="63" applyFont="1" applyFill="1" applyBorder="1" applyAlignment="1">
      <alignment/>
    </xf>
    <xf numFmtId="43" fontId="26" fillId="0" borderId="11" xfId="0" applyNumberFormat="1" applyFont="1" applyFill="1" applyBorder="1" applyAlignment="1">
      <alignment horizontal="right"/>
    </xf>
    <xf numFmtId="43" fontId="26" fillId="0" borderId="20" xfId="63" applyFont="1" applyFill="1" applyBorder="1" applyAlignment="1">
      <alignment/>
    </xf>
    <xf numFmtId="43" fontId="26" fillId="0" borderId="2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43" fontId="28" fillId="0" borderId="17" xfId="63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3" fontId="55" fillId="0" borderId="11" xfId="63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50" fillId="0" borderId="0" xfId="0" applyFont="1" applyFill="1" applyAlignment="1">
      <alignment/>
    </xf>
    <xf numFmtId="43" fontId="50" fillId="0" borderId="0" xfId="63" applyFont="1" applyFill="1" applyAlignment="1">
      <alignment/>
    </xf>
    <xf numFmtId="0" fontId="56" fillId="0" borderId="0" xfId="0" applyFont="1" applyFill="1" applyAlignment="1">
      <alignment/>
    </xf>
    <xf numFmtId="43" fontId="34" fillId="33" borderId="12" xfId="63" applyFont="1" applyFill="1" applyBorder="1" applyAlignment="1">
      <alignment horizontal="center" wrapText="1"/>
    </xf>
    <xf numFmtId="43" fontId="34" fillId="33" borderId="14" xfId="63" applyFont="1" applyFill="1" applyBorder="1" applyAlignment="1">
      <alignment horizontal="center" wrapText="1"/>
    </xf>
    <xf numFmtId="43" fontId="26" fillId="33" borderId="12" xfId="63" applyFont="1" applyFill="1" applyBorder="1" applyAlignment="1">
      <alignment horizontal="center"/>
    </xf>
    <xf numFmtId="43" fontId="26" fillId="33" borderId="14" xfId="63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4" fontId="30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57" fillId="0" borderId="0" xfId="0" applyFont="1" applyFill="1" applyAlignment="1">
      <alignment/>
    </xf>
    <xf numFmtId="43" fontId="18" fillId="35" borderId="11" xfId="63" applyNumberFormat="1" applyFont="1" applyFill="1" applyBorder="1" applyAlignment="1">
      <alignment/>
    </xf>
    <xf numFmtId="43" fontId="21" fillId="33" borderId="11" xfId="63" applyFont="1" applyFill="1" applyBorder="1" applyAlignment="1">
      <alignment/>
    </xf>
    <xf numFmtId="43" fontId="28" fillId="33" borderId="11" xfId="63" applyFont="1" applyFill="1" applyBorder="1" applyAlignment="1">
      <alignment horizontal="center"/>
    </xf>
    <xf numFmtId="165" fontId="54" fillId="0" borderId="20" xfId="0" applyNumberFormat="1" applyFont="1" applyBorder="1" applyAlignment="1">
      <alignment horizontal="center"/>
    </xf>
    <xf numFmtId="43" fontId="24" fillId="0" borderId="20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4" fontId="37" fillId="33" borderId="20" xfId="0" applyNumberFormat="1" applyFont="1" applyFill="1" applyBorder="1" applyAlignment="1">
      <alignment/>
    </xf>
    <xf numFmtId="43" fontId="21" fillId="0" borderId="20" xfId="0" applyNumberFormat="1" applyFont="1" applyBorder="1" applyAlignment="1">
      <alignment/>
    </xf>
    <xf numFmtId="2" fontId="26" fillId="0" borderId="20" xfId="0" applyNumberFormat="1" applyFont="1" applyBorder="1" applyAlignment="1">
      <alignment/>
    </xf>
    <xf numFmtId="2" fontId="26" fillId="0" borderId="20" xfId="0" applyNumberFormat="1" applyFont="1" applyBorder="1" applyAlignment="1">
      <alignment horizontal="center"/>
    </xf>
    <xf numFmtId="4" fontId="18" fillId="34" borderId="20" xfId="0" applyNumberFormat="1" applyFont="1" applyFill="1" applyBorder="1" applyAlignment="1">
      <alignment/>
    </xf>
    <xf numFmtId="4" fontId="28" fillId="36" borderId="17" xfId="0" applyNumberFormat="1" applyFont="1" applyFill="1" applyBorder="1" applyAlignment="1">
      <alignment horizontal="center"/>
    </xf>
    <xf numFmtId="0" fontId="19" fillId="36" borderId="11" xfId="0" applyFont="1" applyFill="1" applyBorder="1" applyAlignment="1">
      <alignment horizontal="left" vertical="center" wrapText="1"/>
    </xf>
    <xf numFmtId="4" fontId="23" fillId="36" borderId="11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3" fontId="26" fillId="0" borderId="17" xfId="0" applyNumberFormat="1" applyFont="1" applyBorder="1" applyAlignment="1">
      <alignment horizontal="center"/>
    </xf>
    <xf numFmtId="43" fontId="26" fillId="0" borderId="30" xfId="0" applyNumberFormat="1" applyFont="1" applyBorder="1" applyAlignment="1">
      <alignment horizontal="center"/>
    </xf>
    <xf numFmtId="43" fontId="18" fillId="34" borderId="31" xfId="63" applyFont="1" applyFill="1" applyBorder="1" applyAlignment="1">
      <alignment horizontal="center"/>
    </xf>
    <xf numFmtId="43" fontId="18" fillId="34" borderId="32" xfId="63" applyFont="1" applyFill="1" applyBorder="1" applyAlignment="1">
      <alignment horizontal="center"/>
    </xf>
    <xf numFmtId="0" fontId="36" fillId="0" borderId="17" xfId="0" applyFont="1" applyFill="1" applyBorder="1" applyAlignment="1">
      <alignment/>
    </xf>
    <xf numFmtId="43" fontId="21" fillId="34" borderId="23" xfId="63" applyFont="1" applyFill="1" applyBorder="1" applyAlignment="1">
      <alignment vertical="center"/>
    </xf>
    <xf numFmtId="43" fontId="21" fillId="34" borderId="23" xfId="63" applyFont="1" applyFill="1" applyBorder="1" applyAlignment="1">
      <alignment horizontal="center" vertical="center"/>
    </xf>
    <xf numFmtId="43" fontId="60" fillId="34" borderId="11" xfId="63" applyNumberFormat="1" applyFont="1" applyFill="1" applyBorder="1" applyAlignment="1">
      <alignment/>
    </xf>
    <xf numFmtId="43" fontId="60" fillId="35" borderId="11" xfId="63" applyFont="1" applyFill="1" applyBorder="1" applyAlignment="1">
      <alignment horizontal="center"/>
    </xf>
    <xf numFmtId="43" fontId="60" fillId="35" borderId="11" xfId="63" applyFont="1" applyFill="1" applyBorder="1" applyAlignment="1">
      <alignment/>
    </xf>
    <xf numFmtId="43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43" fontId="37" fillId="33" borderId="11" xfId="63" applyFont="1" applyFill="1" applyBorder="1" applyAlignment="1">
      <alignment/>
    </xf>
    <xf numFmtId="43" fontId="37" fillId="0" borderId="11" xfId="63" applyFont="1" applyBorder="1" applyAlignment="1">
      <alignment/>
    </xf>
    <xf numFmtId="43" fontId="37" fillId="0" borderId="20" xfId="63" applyFont="1" applyBorder="1" applyAlignment="1">
      <alignment/>
    </xf>
    <xf numFmtId="165" fontId="61" fillId="0" borderId="20" xfId="0" applyNumberFormat="1" applyFont="1" applyBorder="1" applyAlignment="1">
      <alignment horizontal="center"/>
    </xf>
    <xf numFmtId="43" fontId="53" fillId="0" borderId="21" xfId="0" applyNumberFormat="1" applyFont="1" applyBorder="1" applyAlignment="1">
      <alignment/>
    </xf>
    <xf numFmtId="43" fontId="37" fillId="0" borderId="17" xfId="63" applyFont="1" applyBorder="1" applyAlignment="1">
      <alignment/>
    </xf>
    <xf numFmtId="43" fontId="37" fillId="0" borderId="20" xfId="63" applyFont="1" applyBorder="1" applyAlignment="1">
      <alignment horizontal="center"/>
    </xf>
    <xf numFmtId="4" fontId="60" fillId="34" borderId="20" xfId="0" applyNumberFormat="1" applyFont="1" applyFill="1" applyBorder="1" applyAlignment="1">
      <alignment/>
    </xf>
    <xf numFmtId="4" fontId="26" fillId="33" borderId="0" xfId="0" applyNumberFormat="1" applyFont="1" applyFill="1" applyAlignment="1">
      <alignment/>
    </xf>
    <xf numFmtId="4" fontId="28" fillId="33" borderId="0" xfId="0" applyNumberFormat="1" applyFont="1" applyFill="1" applyAlignment="1">
      <alignment/>
    </xf>
    <xf numFmtId="0" fontId="32" fillId="0" borderId="0" xfId="0" applyFont="1" applyAlignment="1">
      <alignment/>
    </xf>
    <xf numFmtId="166" fontId="18" fillId="34" borderId="11" xfId="63" applyNumberFormat="1" applyFont="1" applyFill="1" applyBorder="1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66" fillId="0" borderId="20" xfId="0" applyFont="1" applyFill="1" applyBorder="1" applyAlignment="1">
      <alignment wrapText="1"/>
    </xf>
    <xf numFmtId="165" fontId="67" fillId="0" borderId="21" xfId="0" applyNumberFormat="1" applyFont="1" applyBorder="1" applyAlignment="1">
      <alignment horizontal="center"/>
    </xf>
    <xf numFmtId="43" fontId="68" fillId="0" borderId="20" xfId="0" applyNumberFormat="1" applyFont="1" applyBorder="1" applyAlignment="1">
      <alignment/>
    </xf>
    <xf numFmtId="43" fontId="64" fillId="0" borderId="21" xfId="0" applyNumberFormat="1" applyFont="1" applyBorder="1" applyAlignment="1">
      <alignment/>
    </xf>
    <xf numFmtId="0" fontId="68" fillId="0" borderId="20" xfId="0" applyFont="1" applyBorder="1" applyAlignment="1">
      <alignment horizontal="center"/>
    </xf>
    <xf numFmtId="43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2" fontId="18" fillId="34" borderId="23" xfId="0" applyNumberFormat="1" applyFont="1" applyFill="1" applyBorder="1" applyAlignment="1">
      <alignment horizontal="center" vertical="center"/>
    </xf>
    <xf numFmtId="2" fontId="18" fillId="34" borderId="23" xfId="0" applyNumberFormat="1" applyFont="1" applyFill="1" applyBorder="1" applyAlignment="1">
      <alignment vertical="center"/>
    </xf>
    <xf numFmtId="2" fontId="18" fillId="34" borderId="23" xfId="0" applyNumberFormat="1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center" vertical="center"/>
    </xf>
    <xf numFmtId="165" fontId="54" fillId="0" borderId="20" xfId="0" applyNumberFormat="1" applyFont="1" applyFill="1" applyBorder="1" applyAlignment="1">
      <alignment horizontal="center"/>
    </xf>
    <xf numFmtId="43" fontId="24" fillId="0" borderId="20" xfId="0" applyNumberFormat="1" applyFont="1" applyFill="1" applyBorder="1" applyAlignment="1">
      <alignment/>
    </xf>
    <xf numFmtId="43" fontId="24" fillId="0" borderId="21" xfId="0" applyNumberFormat="1" applyFont="1" applyFill="1" applyBorder="1" applyAlignment="1">
      <alignment/>
    </xf>
    <xf numFmtId="0" fontId="53" fillId="0" borderId="2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3" fontId="23" fillId="0" borderId="17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center"/>
    </xf>
    <xf numFmtId="43" fontId="23" fillId="0" borderId="20" xfId="0" applyNumberFormat="1" applyFont="1" applyFill="1" applyBorder="1" applyAlignment="1">
      <alignment horizontal="right"/>
    </xf>
    <xf numFmtId="43" fontId="23" fillId="0" borderId="11" xfId="63" applyFont="1" applyFill="1" applyBorder="1" applyAlignment="1">
      <alignment/>
    </xf>
    <xf numFmtId="0" fontId="36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2" fontId="26" fillId="0" borderId="24" xfId="0" applyNumberFormat="1" applyFont="1" applyFill="1" applyBorder="1" applyAlignment="1">
      <alignment horizontal="center"/>
    </xf>
    <xf numFmtId="2" fontId="26" fillId="0" borderId="25" xfId="0" applyNumberFormat="1" applyFont="1" applyFill="1" applyBorder="1" applyAlignment="1">
      <alignment horizontal="center"/>
    </xf>
    <xf numFmtId="43" fontId="21" fillId="0" borderId="20" xfId="0" applyNumberFormat="1" applyFont="1" applyFill="1" applyBorder="1" applyAlignment="1">
      <alignment/>
    </xf>
    <xf numFmtId="2" fontId="26" fillId="0" borderId="20" xfId="0" applyNumberFormat="1" applyFont="1" applyFill="1" applyBorder="1" applyAlignment="1">
      <alignment/>
    </xf>
    <xf numFmtId="2" fontId="26" fillId="0" borderId="20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55" fillId="0" borderId="11" xfId="0" applyNumberFormat="1" applyFont="1" applyFill="1" applyBorder="1" applyAlignment="1">
      <alignment horizontal="center"/>
    </xf>
    <xf numFmtId="165" fontId="67" fillId="0" borderId="20" xfId="0" applyNumberFormat="1" applyFont="1" applyBorder="1" applyAlignment="1">
      <alignment horizontal="center"/>
    </xf>
    <xf numFmtId="43" fontId="69" fillId="0" borderId="20" xfId="0" applyNumberFormat="1" applyFont="1" applyBorder="1" applyAlignment="1">
      <alignment/>
    </xf>
    <xf numFmtId="0" fontId="76" fillId="0" borderId="0" xfId="42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externalLink" Target="externalLinks/externalLink2.xml" /><Relationship Id="rId67" Type="http://schemas.openxmlformats.org/officeDocument/2006/relationships/externalLink" Target="externalLinks/externalLink3.xml" /><Relationship Id="rId68" Type="http://schemas.openxmlformats.org/officeDocument/2006/relationships/externalLink" Target="externalLinks/externalLink4.xml" /><Relationship Id="rId69" Type="http://schemas.openxmlformats.org/officeDocument/2006/relationships/externalLink" Target="externalLinks/externalLink5.xml" /><Relationship Id="rId70" Type="http://schemas.openxmlformats.org/officeDocument/2006/relationships/externalLink" Target="externalLinks/externalLink6.xml" /><Relationship Id="rId71" Type="http://schemas.openxmlformats.org/officeDocument/2006/relationships/externalLink" Target="externalLinks/externalLink7.xml" /><Relationship Id="rId72" Type="http://schemas.openxmlformats.org/officeDocument/2006/relationships/externalLink" Target="externalLinks/externalLink8.xml" /><Relationship Id="rId73" Type="http://schemas.openxmlformats.org/officeDocument/2006/relationships/externalLink" Target="externalLinks/externalLink9.xml" /><Relationship Id="rId74" Type="http://schemas.openxmlformats.org/officeDocument/2006/relationships/externalLink" Target="externalLinks/externalLink10.xml" /><Relationship Id="rId75" Type="http://schemas.openxmlformats.org/officeDocument/2006/relationships/externalLink" Target="externalLinks/externalLink11.xml" /><Relationship Id="rId76" Type="http://schemas.openxmlformats.org/officeDocument/2006/relationships/externalLink" Target="externalLinks/externalLink12.xml" /><Relationship Id="rId77" Type="http://schemas.openxmlformats.org/officeDocument/2006/relationships/externalLink" Target="externalLinks/externalLink13.xml" /><Relationship Id="rId78" Type="http://schemas.openxmlformats.org/officeDocument/2006/relationships/externalLink" Target="externalLinks/externalLink14.xml" /><Relationship Id="rId79" Type="http://schemas.openxmlformats.org/officeDocument/2006/relationships/externalLink" Target="externalLinks/externalLink15.xml" /><Relationship Id="rId80" Type="http://schemas.openxmlformats.org/officeDocument/2006/relationships/externalLink" Target="externalLinks/externalLink16.xml" /><Relationship Id="rId81" Type="http://schemas.openxmlformats.org/officeDocument/2006/relationships/externalLink" Target="externalLinks/externalLink17.xml" /><Relationship Id="rId82" Type="http://schemas.openxmlformats.org/officeDocument/2006/relationships/externalLink" Target="externalLinks/externalLink18.xml" /><Relationship Id="rId83" Type="http://schemas.openxmlformats.org/officeDocument/2006/relationships/externalLink" Target="externalLinks/externalLink19.xml" /><Relationship Id="rId84" Type="http://schemas.openxmlformats.org/officeDocument/2006/relationships/externalLink" Target="externalLinks/externalLink20.xml" /><Relationship Id="rId85" Type="http://schemas.openxmlformats.org/officeDocument/2006/relationships/externalLink" Target="externalLinks/externalLink21.xml" /><Relationship Id="rId86" Type="http://schemas.openxmlformats.org/officeDocument/2006/relationships/externalLink" Target="externalLinks/externalLink22.xml" /><Relationship Id="rId87" Type="http://schemas.openxmlformats.org/officeDocument/2006/relationships/externalLink" Target="externalLinks/externalLink23.xml" /><Relationship Id="rId88" Type="http://schemas.openxmlformats.org/officeDocument/2006/relationships/externalLink" Target="externalLinks/externalLink24.xml" /><Relationship Id="rId89" Type="http://schemas.openxmlformats.org/officeDocument/2006/relationships/externalLink" Target="externalLinks/externalLink25.xml" /><Relationship Id="rId90" Type="http://schemas.openxmlformats.org/officeDocument/2006/relationships/externalLink" Target="externalLinks/externalLink26.xml" /><Relationship Id="rId91" Type="http://schemas.openxmlformats.org/officeDocument/2006/relationships/externalLink" Target="externalLinks/externalLink27.xml" /><Relationship Id="rId92" Type="http://schemas.openxmlformats.org/officeDocument/2006/relationships/externalLink" Target="externalLinks/externalLink28.xml" /><Relationship Id="rId93" Type="http://schemas.openxmlformats.org/officeDocument/2006/relationships/externalLink" Target="externalLinks/externalLink29.xml" /><Relationship Id="rId94" Type="http://schemas.openxmlformats.org/officeDocument/2006/relationships/externalLink" Target="externalLinks/externalLink30.xml" /><Relationship Id="rId95" Type="http://schemas.openxmlformats.org/officeDocument/2006/relationships/externalLink" Target="externalLinks/externalLink31.xml" /><Relationship Id="rId96" Type="http://schemas.openxmlformats.org/officeDocument/2006/relationships/externalLink" Target="externalLinks/externalLink32.xml" /><Relationship Id="rId97" Type="http://schemas.openxmlformats.org/officeDocument/2006/relationships/externalLink" Target="externalLinks/externalLink33.xml" /><Relationship Id="rId98" Type="http://schemas.openxmlformats.org/officeDocument/2006/relationships/externalLink" Target="externalLinks/externalLink34.xml" /><Relationship Id="rId99" Type="http://schemas.openxmlformats.org/officeDocument/2006/relationships/externalLink" Target="externalLinks/externalLink35.xml" /><Relationship Id="rId100" Type="http://schemas.openxmlformats.org/officeDocument/2006/relationships/externalLink" Target="externalLinks/externalLink36.xml" /><Relationship Id="rId101" Type="http://schemas.openxmlformats.org/officeDocument/2006/relationships/externalLink" Target="externalLinks/externalLink37.xml" /><Relationship Id="rId102" Type="http://schemas.openxmlformats.org/officeDocument/2006/relationships/externalLink" Target="externalLinks/externalLink38.xml" /><Relationship Id="rId103" Type="http://schemas.openxmlformats.org/officeDocument/2006/relationships/externalLink" Target="externalLinks/externalLink39.xml" /><Relationship Id="rId104" Type="http://schemas.openxmlformats.org/officeDocument/2006/relationships/externalLink" Target="externalLinks/externalLink40.xml" /><Relationship Id="rId105" Type="http://schemas.openxmlformats.org/officeDocument/2006/relationships/externalLink" Target="externalLinks/externalLink41.xml" /><Relationship Id="rId106" Type="http://schemas.openxmlformats.org/officeDocument/2006/relationships/externalLink" Target="externalLinks/externalLink42.xml" /><Relationship Id="rId107" Type="http://schemas.openxmlformats.org/officeDocument/2006/relationships/externalLink" Target="externalLinks/externalLink43.xml" /><Relationship Id="rId108" Type="http://schemas.openxmlformats.org/officeDocument/2006/relationships/externalLink" Target="externalLinks/externalLink44.xml" /><Relationship Id="rId109" Type="http://schemas.openxmlformats.org/officeDocument/2006/relationships/externalLink" Target="externalLinks/externalLink45.xml" /><Relationship Id="rId110" Type="http://schemas.openxmlformats.org/officeDocument/2006/relationships/externalLink" Target="externalLinks/externalLink46.xml" /><Relationship Id="rId111" Type="http://schemas.openxmlformats.org/officeDocument/2006/relationships/externalLink" Target="externalLinks/externalLink47.xml" /><Relationship Id="rId112" Type="http://schemas.openxmlformats.org/officeDocument/2006/relationships/externalLink" Target="externalLinks/externalLink48.xml" /><Relationship Id="rId113" Type="http://schemas.openxmlformats.org/officeDocument/2006/relationships/externalLink" Target="externalLinks/externalLink49.xml" /><Relationship Id="rId114" Type="http://schemas.openxmlformats.org/officeDocument/2006/relationships/externalLink" Target="externalLinks/externalLink50.xml" /><Relationship Id="rId115" Type="http://schemas.openxmlformats.org/officeDocument/2006/relationships/externalLink" Target="externalLinks/externalLink51.xml" /><Relationship Id="rId116" Type="http://schemas.openxmlformats.org/officeDocument/2006/relationships/externalLink" Target="externalLinks/externalLink52.xml" /><Relationship Id="rId117" Type="http://schemas.openxmlformats.org/officeDocument/2006/relationships/externalLink" Target="externalLinks/externalLink53.xml" /><Relationship Id="rId118" Type="http://schemas.openxmlformats.org/officeDocument/2006/relationships/externalLink" Target="externalLinks/externalLink54.xml" /><Relationship Id="rId119" Type="http://schemas.openxmlformats.org/officeDocument/2006/relationships/externalLink" Target="externalLinks/externalLink55.xml" /><Relationship Id="rId120" Type="http://schemas.openxmlformats.org/officeDocument/2006/relationships/externalLink" Target="externalLinks/externalLink56.xml" /><Relationship Id="rId121" Type="http://schemas.openxmlformats.org/officeDocument/2006/relationships/externalLink" Target="externalLinks/externalLink57.xml" /><Relationship Id="rId122" Type="http://schemas.openxmlformats.org/officeDocument/2006/relationships/externalLink" Target="externalLinks/externalLink58.xml" /><Relationship Id="rId123" Type="http://schemas.openxmlformats.org/officeDocument/2006/relationships/externalLink" Target="externalLinks/externalLink59.xml" /><Relationship Id="rId124" Type="http://schemas.openxmlformats.org/officeDocument/2006/relationships/externalLink" Target="externalLinks/externalLink60.xml" /><Relationship Id="rId125" Type="http://schemas.openxmlformats.org/officeDocument/2006/relationships/externalLink" Target="externalLinks/externalLink61.xml" /><Relationship Id="rId1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/>
  <dimension ref="B2:B63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33.00390625" style="0" bestFit="1" customWidth="1"/>
  </cols>
  <sheetData>
    <row r="2" ht="15">
      <c r="B2" t="s">
        <v>173</v>
      </c>
    </row>
    <row r="3" ht="15">
      <c r="B3" s="395" t="str">
        <f>HYPERLINK("#'50 Лет_Л1'!A1","1. 50 лет Октября, 1-Ленинский, 1")</f>
        <v>1. 50 лет Октября, 1-Ленинский, 1</v>
      </c>
    </row>
    <row r="4" ht="15">
      <c r="B4" s="395" t="str">
        <f>HYPERLINK("#'50лет Окт_2'!A1","2. 50 лет Октября, 2")</f>
        <v>2. 50 лет Октября, 2</v>
      </c>
    </row>
    <row r="5" ht="15">
      <c r="B5" s="395" t="str">
        <f>HYPERLINK("#'Бег_39а'!A1","3. Бегичева, 39а")</f>
        <v>3. Бегичева, 39а</v>
      </c>
    </row>
    <row r="6" ht="15">
      <c r="B6" s="395" t="str">
        <f>HYPERLINK("#'Комс_1а'!A1","4. Комсомольская, 1а")</f>
        <v>4. Комсомольская, 1а</v>
      </c>
    </row>
    <row r="7" ht="15">
      <c r="B7" s="395" t="str">
        <f>HYPERLINK("#'Комс_3'!A1","5. Комсомольская, 3")</f>
        <v>5. Комсомольская, 3</v>
      </c>
    </row>
    <row r="8" ht="15">
      <c r="B8" s="395" t="str">
        <f>HYPERLINK("#'Комс_4'!A1","6. Комсомольская, 4")</f>
        <v>6. Комсомольская, 4</v>
      </c>
    </row>
    <row r="9" ht="15">
      <c r="B9" s="395" t="str">
        <f>HYPERLINK("#'Комс_7'!A1","7. Комсомольская, 7")</f>
        <v>7. Комсомольская, 7</v>
      </c>
    </row>
    <row r="10" ht="15">
      <c r="B10" s="395" t="str">
        <f>HYPERLINK("#'Комс_7а'!A1","8. Комсомольская, 7а")</f>
        <v>8. Комсомольская, 7а</v>
      </c>
    </row>
    <row r="11" ht="15">
      <c r="B11" s="395" t="str">
        <f>HYPERLINK("#'Комс_8'!A1","9. Комсомольская, 8")</f>
        <v>9. Комсомольская, 8</v>
      </c>
    </row>
    <row r="12" ht="15">
      <c r="B12" s="395" t="str">
        <f>HYPERLINK("#'Комс_9'!A1","10. Комсомольская, 9")</f>
        <v>10. Комсомольская, 9</v>
      </c>
    </row>
    <row r="13" ht="15">
      <c r="B13" s="395" t="str">
        <f>HYPERLINK("#'Комс_10'!A1","11. Комсомольская, 10")</f>
        <v>11. Комсомольская, 10</v>
      </c>
    </row>
    <row r="14" ht="15">
      <c r="B14" s="395" t="str">
        <f>HYPERLINK("#'Комс_11'!A1","12. Комсомольская, 11")</f>
        <v>12. Комсомольская, 11</v>
      </c>
    </row>
    <row r="15" ht="15">
      <c r="B15" s="395" t="str">
        <f>HYPERLINK("#'Комс_12'!A1","13. Комсомольская, 12")</f>
        <v>13. Комсомольская, 12</v>
      </c>
    </row>
    <row r="16" ht="15">
      <c r="B16" s="395" t="str">
        <f>HYPERLINK("#'Комс_14'!A1","14. Комсомольская, 14")</f>
        <v>14. Комсомольская, 14</v>
      </c>
    </row>
    <row r="17" ht="15">
      <c r="B17" s="395" t="str">
        <f>HYPERLINK("#'Комс_15 '!A1","15. Комсомольская, 15")</f>
        <v>15. Комсомольская, 15</v>
      </c>
    </row>
    <row r="18" ht="15">
      <c r="B18" s="395" t="str">
        <f>HYPERLINK("#'Комс_17'!A1","16. Комсомольская, 17")</f>
        <v>16. Комсомольская, 17</v>
      </c>
    </row>
    <row r="19" ht="15">
      <c r="B19" s="395" t="str">
        <f>HYPERLINK("#'Комс_18'!A1","17. Комсомольская, 18")</f>
        <v>17. Комсомольская, 18</v>
      </c>
    </row>
    <row r="20" ht="15">
      <c r="B20" s="395" t="str">
        <f>HYPERLINK("#'Комс_19'!A1","18. Комсомольская, 19")</f>
        <v>18. Комсомольская, 19</v>
      </c>
    </row>
    <row r="21" ht="15">
      <c r="B21" s="395" t="str">
        <f>HYPERLINK("#'Комс_20'!A1","19. Комсомольская, 20")</f>
        <v>19. Комсомольская, 20</v>
      </c>
    </row>
    <row r="22" ht="15">
      <c r="B22" s="395" t="str">
        <f>HYPERLINK("#'Комс_22'!A1","20. Комсомольская, 22")</f>
        <v>20. Комсомольская, 22</v>
      </c>
    </row>
    <row r="23" ht="15">
      <c r="B23" s="395" t="str">
        <f>HYPERLINK("#'Комс_23'!A1","21. Комсомольская, 23")</f>
        <v>21. Комсомольская, 23</v>
      </c>
    </row>
    <row r="24" ht="15">
      <c r="B24" s="395" t="str">
        <f>HYPERLINK("#'Комс_25'!A1","22. Комсомольская, 25")</f>
        <v>22. Комсомольская, 25</v>
      </c>
    </row>
    <row r="25" ht="15">
      <c r="B25" s="395" t="str">
        <f>HYPERLINK("#'Комс_27'!A1","23. Комсомольская, 27")</f>
        <v>23. Комсомольская, 27</v>
      </c>
    </row>
    <row r="26" ht="15">
      <c r="B26" s="395" t="str">
        <f>HYPERLINK("#'Кот_6'!A1","24. Котульского, 6")</f>
        <v>24. Котульского, 6</v>
      </c>
    </row>
    <row r="27" ht="15">
      <c r="B27" s="395" t="str">
        <f>HYPERLINK("#'Лаур_23'!A1","25. Лауреатов, 23")</f>
        <v>25. Лауреатов, 23</v>
      </c>
    </row>
    <row r="28" ht="15">
      <c r="B28" s="395" t="str">
        <f>HYPERLINK("#'Лаур_31'!A1","26. Лауреатов, 31")</f>
        <v>26. Лауреатов, 31</v>
      </c>
    </row>
    <row r="29" ht="15">
      <c r="B29" s="395" t="str">
        <f>HYPERLINK("#'Лаур_48'!A1","27. Лауреатов, 48")</f>
        <v>27. Лауреатов, 48</v>
      </c>
    </row>
    <row r="30" ht="15">
      <c r="B30" s="395" t="str">
        <f>HYPERLINK("#'Лаур_75'!A1","28. Лауреатов, 75")</f>
        <v>28. Лауреатов, 75</v>
      </c>
    </row>
    <row r="31" ht="15">
      <c r="B31" s="395" t="str">
        <f>HYPERLINK("#'Лаур_77'!A1","29. Лауреатов, 77")</f>
        <v>29. Лауреатов, 77</v>
      </c>
    </row>
    <row r="32" ht="15">
      <c r="B32" s="395" t="str">
        <f>HYPERLINK("#'Лаур_81'!A1","30. Лауреатов, 81")</f>
        <v>30. Лауреатов, 81</v>
      </c>
    </row>
    <row r="33" ht="15">
      <c r="B33" s="395" t="str">
        <f>HYPERLINK("#'Л_3'!A1","31. Ленинский, 3")</f>
        <v>31. Ленинский, 3</v>
      </c>
    </row>
    <row r="34" ht="15">
      <c r="B34" s="395" t="str">
        <f>HYPERLINK("#'Л_5'!A1","32. Ленинский, 5")</f>
        <v>32. Ленинский, 5</v>
      </c>
    </row>
    <row r="35" ht="15">
      <c r="B35" s="395" t="str">
        <f>HYPERLINK("#'Л_7'!A1","33. Ленинский, 7")</f>
        <v>33. Ленинский, 7</v>
      </c>
    </row>
    <row r="36" ht="15">
      <c r="B36" s="395" t="str">
        <f>HYPERLINK("#'Л_11'!A1","34. Ленинский, 11")</f>
        <v>34. Ленинский, 11</v>
      </c>
    </row>
    <row r="37" ht="15">
      <c r="B37" s="395" t="str">
        <f>HYPERLINK("#'Л_13'!A1","35. Ленинский, 13")</f>
        <v>35. Ленинский, 13</v>
      </c>
    </row>
    <row r="38" ht="15">
      <c r="B38" s="395" t="str">
        <f>HYPERLINK("#'Л_15'!A1","36. Ленинский, 15")</f>
        <v>36. Ленинский, 15</v>
      </c>
    </row>
    <row r="39" ht="15">
      <c r="B39" s="395" t="str">
        <f>HYPERLINK("#'Л_17'!A1","37. Ленинский, 17")</f>
        <v>37. Ленинский, 17</v>
      </c>
    </row>
    <row r="40" ht="15">
      <c r="B40" s="395" t="str">
        <f>HYPERLINK("#'Лен_46'!A1","38. Ленинский, 46")</f>
        <v>38. Ленинский, 46</v>
      </c>
    </row>
    <row r="41" ht="15">
      <c r="B41" s="395" t="str">
        <f>HYPERLINK("#'Мет_19'!A1","39. Металлургов, 19")</f>
        <v>39. Металлургов, 19</v>
      </c>
    </row>
    <row r="42" ht="15">
      <c r="B42" s="395" t="str">
        <f>HYPERLINK("#'Мет_25'!A1","40. Металлургов, 25")</f>
        <v>40. Металлургов, 25</v>
      </c>
    </row>
    <row r="43" ht="15">
      <c r="B43" s="395" t="str">
        <f>HYPERLINK("#'Мет_29'!A1","41. Металлургов, 29")</f>
        <v>41. Металлургов, 29</v>
      </c>
    </row>
    <row r="44" ht="15">
      <c r="B44" s="395" t="str">
        <f>HYPERLINK("#'Мих_6'!A1","42. Михайличенко, 6")</f>
        <v>42. Михайличенко, 6</v>
      </c>
    </row>
    <row r="45" ht="15">
      <c r="B45" s="395" t="str">
        <f>HYPERLINK("#'Мол_1'!A1","43. Молодежный, 1")</f>
        <v>43. Молодежный, 1</v>
      </c>
    </row>
    <row r="46" ht="15">
      <c r="B46" s="395" t="str">
        <f>HYPERLINK("#'Мол_5'!A1","44. Молодежный, 5")</f>
        <v>44. Молодежный, 5</v>
      </c>
    </row>
    <row r="47" ht="15">
      <c r="B47" s="395" t="str">
        <f>HYPERLINK("#'Мол_11'!A1","45. Молодежный, 11")</f>
        <v>45. Молодежный, 11</v>
      </c>
    </row>
    <row r="48" ht="15">
      <c r="B48" s="395" t="str">
        <f>HYPERLINK("#'Мол_15'!A1","46. Молодежный, 15")</f>
        <v>46. Молодежный, 15</v>
      </c>
    </row>
    <row r="49" ht="15">
      <c r="B49" s="395" t="str">
        <f>HYPERLINK("#'Мол_21'!A1","47. Молодежный, 21")</f>
        <v>47. Молодежный, 21</v>
      </c>
    </row>
    <row r="50" ht="15">
      <c r="B50" s="395" t="str">
        <f>HYPERLINK("#'Мол_25'!A1","48. Молодежный, 25")</f>
        <v>48. Молодежный, 25</v>
      </c>
    </row>
    <row r="51" ht="15">
      <c r="B51" s="395" t="str">
        <f>HYPERLINK("#'Моск_31'!A1","49. Московская, 31")</f>
        <v>49. Московская, 31</v>
      </c>
    </row>
    <row r="52" ht="15">
      <c r="B52" s="395" t="str">
        <f>HYPERLINK("#'Набер_33'!A1","50. Набережная Урванцева, 33")</f>
        <v>50. Набережная Урванцева, 33</v>
      </c>
    </row>
    <row r="53" ht="15">
      <c r="B53" s="395" t="str">
        <f>HYPERLINK("#'Набер_37'!A1","51. Набережная Урванцева, 37")</f>
        <v>51. Набережная Урванцева, 37</v>
      </c>
    </row>
    <row r="54" ht="15">
      <c r="B54" s="395" t="str">
        <f>HYPERLINK("#'Набер_39'!A1","52. Набережная Урванцева, 39")</f>
        <v>52. Набережная Урванцева, 39</v>
      </c>
    </row>
    <row r="55" ht="15">
      <c r="B55" s="395" t="str">
        <f>HYPERLINK("#'Набер_41'!A1","53. Набережная Урванцева, 41")</f>
        <v>53. Набережная Урванцева, 41</v>
      </c>
    </row>
    <row r="56" ht="15">
      <c r="B56" s="395" t="str">
        <f>HYPERLINK("#'Набер_45'!A1","54. Набережная Урванцева, 45")</f>
        <v>54. Набережная Урванцева, 45</v>
      </c>
    </row>
    <row r="57" ht="15">
      <c r="B57" s="395" t="str">
        <f>HYPERLINK("#'Набер_49'!A1","55. Набережная Урванцева, 49")</f>
        <v>55. Набережная Урванцева, 49</v>
      </c>
    </row>
    <row r="58" ht="15">
      <c r="B58" s="395" t="str">
        <f>HYPERLINK("#'Орд_19'!A1","56. Орджоникидзе, 19")</f>
        <v>56. Орджоникидзе, 19</v>
      </c>
    </row>
    <row r="59" ht="15">
      <c r="B59" s="395" t="str">
        <f>HYPERLINK("#'Сев_13'!A1","57. Севастопольская, 13")</f>
        <v>57. Севастопольская, 13</v>
      </c>
    </row>
    <row r="60" ht="15">
      <c r="B60" s="395" t="str">
        <f>HYPERLINK("#'Сов_4'!A1","58. Советская ,4")</f>
        <v>58. Советская ,4</v>
      </c>
    </row>
    <row r="61" ht="15">
      <c r="B61" s="395" t="str">
        <f>HYPERLINK("#'Сов_6'!A1","59. Советская ,6")</f>
        <v>59. Советская ,6</v>
      </c>
    </row>
    <row r="62" ht="15">
      <c r="B62" s="395" t="str">
        <f>HYPERLINK("#'Сов_8'!A1","60. Советская ,8")</f>
        <v>60. Советская ,8</v>
      </c>
    </row>
    <row r="63" ht="15">
      <c r="B63" s="395" t="str">
        <f>HYPERLINK("#'Тал_67'!A1","61. Талнахская, 67")</f>
        <v>61. Талнахская, 67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tabColor theme="6" tint="-0.24997000396251678"/>
  </sheetPr>
  <dimension ref="A1:H104"/>
  <sheetViews>
    <sheetView zoomScaleSheetLayoutView="7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00390625" style="2" customWidth="1"/>
    <col min="4" max="4" width="7.140625" style="2" customWidth="1"/>
    <col min="5" max="5" width="21.7109375" style="2" customWidth="1"/>
    <col min="6" max="7" width="23.8515625" style="2" customWidth="1"/>
    <col min="8" max="8" width="22.71093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8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150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8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2537.9300000000003</v>
      </c>
      <c r="F19" s="39" t="s">
        <v>20</v>
      </c>
    </row>
    <row r="20" spans="1:6" s="8" customFormat="1" ht="18">
      <c r="A20" s="35"/>
      <c r="B20" s="8" t="s">
        <v>21</v>
      </c>
      <c r="E20" s="146">
        <v>1387.17</v>
      </c>
      <c r="F20" s="8" t="s">
        <v>20</v>
      </c>
    </row>
    <row r="21" spans="1:6" s="8" customFormat="1" ht="18">
      <c r="A21" s="41"/>
      <c r="B21" s="8" t="s">
        <v>22</v>
      </c>
      <c r="E21" s="146">
        <v>1091.97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58.79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2896.1135767139913</v>
      </c>
      <c r="D25" s="57">
        <v>0</v>
      </c>
      <c r="E25" s="58">
        <v>2911.0829999999996</v>
      </c>
      <c r="F25" s="58">
        <v>3045.99</v>
      </c>
      <c r="G25" s="58">
        <v>24.1798752</v>
      </c>
      <c r="H25" s="59">
        <f>E25-F25</f>
        <v>-134.90700000000015</v>
      </c>
    </row>
    <row r="26" spans="1:8" s="30" customFormat="1" ht="18">
      <c r="A26" s="60" t="s">
        <v>36</v>
      </c>
      <c r="B26" s="61" t="s">
        <v>37</v>
      </c>
      <c r="C26" s="62">
        <v>627.86934</v>
      </c>
      <c r="D26" s="62"/>
      <c r="E26" s="63">
        <v>837.089</v>
      </c>
      <c r="F26" s="63">
        <v>878.16</v>
      </c>
      <c r="G26" s="63">
        <v>7.350829200000001</v>
      </c>
      <c r="H26" s="64">
        <f>E26-F26</f>
        <v>-41.07099999999991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2268.2442367139915</v>
      </c>
      <c r="D50" s="62">
        <v>0</v>
      </c>
      <c r="E50" s="63">
        <v>2073.9939999999997</v>
      </c>
      <c r="F50" s="63">
        <v>2167.83</v>
      </c>
      <c r="G50" s="63">
        <v>16.829046</v>
      </c>
      <c r="H50" s="64">
        <f aca="true" t="shared" si="0" ref="H50:H62">E50-F50</f>
        <v>-93.83600000000024</v>
      </c>
    </row>
    <row r="51" spans="1:8" ht="15">
      <c r="A51" s="77" t="s">
        <v>84</v>
      </c>
      <c r="B51" s="78" t="s">
        <v>85</v>
      </c>
      <c r="C51" s="79">
        <v>618.1533760268136</v>
      </c>
      <c r="D51" s="80"/>
      <c r="E51" s="73">
        <v>317.054</v>
      </c>
      <c r="F51" s="73">
        <v>338.71</v>
      </c>
      <c r="G51" s="81">
        <v>2.6914212000000006</v>
      </c>
      <c r="H51" s="82">
        <f t="shared" si="0"/>
        <v>-21.656000000000006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65.81041005967117</v>
      </c>
      <c r="D53" s="80"/>
      <c r="E53" s="73">
        <v>64.39</v>
      </c>
      <c r="F53" s="73">
        <v>68.84</v>
      </c>
      <c r="G53" s="81">
        <v>0.5487066</v>
      </c>
      <c r="H53" s="82">
        <f t="shared" si="0"/>
        <v>-4.450000000000003</v>
      </c>
    </row>
    <row r="54" spans="1:8" ht="15">
      <c r="A54" s="77" t="s">
        <v>90</v>
      </c>
      <c r="B54" s="78" t="s">
        <v>91</v>
      </c>
      <c r="C54" s="79">
        <v>277.1058540765305</v>
      </c>
      <c r="D54" s="80"/>
      <c r="E54" s="73">
        <v>265.262</v>
      </c>
      <c r="F54" s="73">
        <v>283.28</v>
      </c>
      <c r="G54" s="81">
        <v>2.1948264</v>
      </c>
      <c r="H54" s="82">
        <f t="shared" si="0"/>
        <v>-18.017999999999972</v>
      </c>
    </row>
    <row r="55" spans="1:8" ht="31.5" customHeight="1">
      <c r="A55" s="77" t="s">
        <v>92</v>
      </c>
      <c r="B55" s="78" t="s">
        <v>93</v>
      </c>
      <c r="C55" s="79">
        <v>557.4967982221618</v>
      </c>
      <c r="D55" s="80"/>
      <c r="E55" s="73">
        <v>698.499</v>
      </c>
      <c r="F55" s="73">
        <v>745.96</v>
      </c>
      <c r="G55" s="81">
        <v>5.6740554</v>
      </c>
      <c r="H55" s="82">
        <f t="shared" si="0"/>
        <v>-47.46100000000001</v>
      </c>
    </row>
    <row r="56" spans="1:8" ht="15">
      <c r="A56" s="77" t="s">
        <v>94</v>
      </c>
      <c r="B56" s="78" t="s">
        <v>95</v>
      </c>
      <c r="C56" s="79">
        <v>421.6363594399761</v>
      </c>
      <c r="D56" s="80"/>
      <c r="E56" s="73">
        <v>381.445</v>
      </c>
      <c r="F56" s="73">
        <v>407.25</v>
      </c>
      <c r="G56" s="81">
        <v>3.3780708</v>
      </c>
      <c r="H56" s="82">
        <f t="shared" si="0"/>
        <v>-25.805000000000007</v>
      </c>
    </row>
    <row r="57" spans="1:8" ht="15">
      <c r="A57" s="77" t="s">
        <v>96</v>
      </c>
      <c r="B57" s="78" t="s">
        <v>97</v>
      </c>
      <c r="C57" s="79">
        <v>10.719810118068475</v>
      </c>
      <c r="D57" s="80"/>
      <c r="E57" s="73">
        <v>15.397</v>
      </c>
      <c r="F57" s="73">
        <v>16.45</v>
      </c>
      <c r="G57" s="81">
        <v>0.13181220000000002</v>
      </c>
      <c r="H57" s="82">
        <f t="shared" si="0"/>
        <v>-1.052999999999999</v>
      </c>
    </row>
    <row r="58" spans="1:8" s="30" customFormat="1" ht="15.75">
      <c r="A58" s="77" t="s">
        <v>98</v>
      </c>
      <c r="B58" s="78" t="s">
        <v>99</v>
      </c>
      <c r="C58" s="79">
        <v>259.65324527609215</v>
      </c>
      <c r="D58" s="80"/>
      <c r="E58" s="73">
        <v>251.963</v>
      </c>
      <c r="F58" s="73">
        <v>268.96</v>
      </c>
      <c r="G58" s="81">
        <v>2.1886956000000004</v>
      </c>
      <c r="H58" s="82">
        <f t="shared" si="0"/>
        <v>-16.996999999999986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2.600679284817373</v>
      </c>
      <c r="D61" s="80"/>
      <c r="E61" s="73">
        <v>2.799</v>
      </c>
      <c r="F61" s="73">
        <v>3.05</v>
      </c>
      <c r="G61" s="81">
        <v>0.021457800000000006</v>
      </c>
      <c r="H61" s="82">
        <f t="shared" si="0"/>
        <v>-0.2509999999999999</v>
      </c>
    </row>
    <row r="62" spans="1:8" s="30" customFormat="1" ht="16.5" thickBot="1">
      <c r="A62" s="83" t="s">
        <v>106</v>
      </c>
      <c r="B62" s="84" t="s">
        <v>107</v>
      </c>
      <c r="C62" s="85">
        <v>55.067704209860054</v>
      </c>
      <c r="D62" s="86"/>
      <c r="E62" s="87">
        <v>77.185</v>
      </c>
      <c r="F62" s="87">
        <v>35.33</v>
      </c>
      <c r="G62" s="88">
        <v>0</v>
      </c>
      <c r="H62" s="89">
        <f t="shared" si="0"/>
        <v>41.855000000000004</v>
      </c>
    </row>
    <row r="63" spans="1:8" ht="46.5" hidden="1" thickBot="1" thickTop="1">
      <c r="A63" s="90" t="s">
        <v>108</v>
      </c>
      <c r="B63" s="91" t="s">
        <v>109</v>
      </c>
      <c r="C63" s="92">
        <v>257.6414892</v>
      </c>
      <c r="D63" s="93"/>
      <c r="E63" s="245" t="s">
        <v>110</v>
      </c>
      <c r="F63" s="245"/>
      <c r="G63" s="245"/>
      <c r="H63" s="246"/>
    </row>
    <row r="64" spans="1:8" s="8" customFormat="1" ht="18.75" thickTop="1">
      <c r="A64" s="96" t="s">
        <v>111</v>
      </c>
      <c r="B64" s="97" t="s">
        <v>112</v>
      </c>
      <c r="C64" s="98">
        <v>3902.831427564314</v>
      </c>
      <c r="D64" s="98"/>
      <c r="E64" s="99">
        <v>3723.21067</v>
      </c>
      <c r="F64" s="99">
        <v>3667.70903</v>
      </c>
      <c r="G64" s="99">
        <v>18.8399484</v>
      </c>
      <c r="H64" s="100">
        <f>E64-F64</f>
        <v>55.50163999999995</v>
      </c>
    </row>
    <row r="65" spans="1:8" ht="15">
      <c r="A65" s="101"/>
      <c r="B65" s="102" t="s">
        <v>113</v>
      </c>
      <c r="C65" s="103">
        <v>2301.989495159128</v>
      </c>
      <c r="D65" s="103"/>
      <c r="E65" s="73">
        <v>2220.87877</v>
      </c>
      <c r="F65" s="73">
        <v>2286.905</v>
      </c>
      <c r="G65" s="81">
        <v>18.8399484</v>
      </c>
      <c r="H65" s="104">
        <f>E65-F65</f>
        <v>-66.0262300000004</v>
      </c>
    </row>
    <row r="66" spans="1:8" ht="15">
      <c r="A66" s="101"/>
      <c r="B66" s="102" t="s">
        <v>114</v>
      </c>
      <c r="C66" s="103">
        <v>389.26466177888506</v>
      </c>
      <c r="D66" s="103"/>
      <c r="E66" s="73">
        <v>365.31072</v>
      </c>
      <c r="F66" s="73">
        <v>337.568</v>
      </c>
      <c r="G66" s="81"/>
      <c r="H66" s="104">
        <f>E66-F66</f>
        <v>27.74272000000002</v>
      </c>
    </row>
    <row r="67" spans="1:8" ht="15">
      <c r="A67" s="101"/>
      <c r="B67" s="102" t="s">
        <v>115</v>
      </c>
      <c r="C67" s="103">
        <v>339.5829059070539</v>
      </c>
      <c r="D67" s="103"/>
      <c r="E67" s="73">
        <v>318.6862</v>
      </c>
      <c r="F67" s="73">
        <v>301.129</v>
      </c>
      <c r="G67" s="81"/>
      <c r="H67" s="104">
        <f>E67-F67</f>
        <v>17.557199999999966</v>
      </c>
    </row>
    <row r="68" spans="1:8" ht="15">
      <c r="A68" s="101"/>
      <c r="B68" s="102" t="s">
        <v>116</v>
      </c>
      <c r="C68" s="103">
        <v>456.27493184676104</v>
      </c>
      <c r="D68" s="103"/>
      <c r="E68" s="73">
        <v>428.19742</v>
      </c>
      <c r="F68" s="73">
        <v>397.245</v>
      </c>
      <c r="G68" s="81"/>
      <c r="H68" s="104">
        <f>E68-F68</f>
        <v>30.952420000000018</v>
      </c>
    </row>
    <row r="69" spans="1:8" ht="15.75" thickBot="1">
      <c r="A69" s="105"/>
      <c r="B69" s="106" t="s">
        <v>117</v>
      </c>
      <c r="C69" s="107">
        <v>415.71943287248587</v>
      </c>
      <c r="D69" s="107"/>
      <c r="E69" s="87">
        <v>390.13756</v>
      </c>
      <c r="F69" s="87">
        <v>344.86203</v>
      </c>
      <c r="G69" s="88"/>
      <c r="H69" s="108">
        <f>(-1978.37+70421.22)/1000</f>
        <v>68.44285</v>
      </c>
    </row>
    <row r="70" spans="1:8" ht="19.5" thickBot="1" thickTop="1">
      <c r="A70" s="109" t="s">
        <v>118</v>
      </c>
      <c r="B70" s="110" t="s">
        <v>119</v>
      </c>
      <c r="C70" s="111">
        <v>6798.945004278305</v>
      </c>
      <c r="D70" s="111"/>
      <c r="E70" s="112">
        <v>6634.293669999999</v>
      </c>
      <c r="F70" s="112">
        <v>6713.69903</v>
      </c>
      <c r="G70" s="112">
        <v>43.0198236</v>
      </c>
      <c r="H70" s="113">
        <f>H25+H64</f>
        <v>-79.4053600000002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185.34959999999998</v>
      </c>
      <c r="F71" s="112">
        <v>187.32098</v>
      </c>
      <c r="G71" s="112">
        <v>0</v>
      </c>
      <c r="H71" s="113">
        <f>E71-F71</f>
        <v>-1.9713800000000106</v>
      </c>
    </row>
    <row r="72" spans="1:8" ht="15.75" thickTop="1">
      <c r="A72" s="115"/>
      <c r="B72" s="116" t="s">
        <v>122</v>
      </c>
      <c r="C72" s="103"/>
      <c r="D72" s="103"/>
      <c r="E72" s="81">
        <v>183.6324</v>
      </c>
      <c r="F72" s="81">
        <v>185.74688</v>
      </c>
      <c r="G72" s="117"/>
      <c r="H72" s="104">
        <f>E72-F72</f>
        <v>-2.1144800000000146</v>
      </c>
    </row>
    <row r="73" spans="1:8" ht="15">
      <c r="A73" s="115"/>
      <c r="B73" s="116" t="s">
        <v>123</v>
      </c>
      <c r="C73" s="118"/>
      <c r="D73" s="118"/>
      <c r="E73" s="81">
        <v>1.7172</v>
      </c>
      <c r="F73" s="81">
        <v>1.5741</v>
      </c>
      <c r="G73" s="119"/>
      <c r="H73" s="104">
        <f>E73-F73</f>
        <v>0.1431</v>
      </c>
    </row>
    <row r="74" spans="1:8" ht="29.25" thickBot="1">
      <c r="A74" s="120"/>
      <c r="B74" s="121" t="s">
        <v>124</v>
      </c>
      <c r="C74" s="122"/>
      <c r="D74" s="123"/>
      <c r="E74" s="124">
        <v>391.69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345.59716</v>
      </c>
      <c r="D75" s="114"/>
      <c r="E75" s="112">
        <v>345.59716</v>
      </c>
      <c r="F75" s="112">
        <v>317.92687</v>
      </c>
      <c r="G75" s="112"/>
      <c r="H75" s="113">
        <f>E75-F75</f>
        <v>27.670289999999966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2456.4101599999995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1252.263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1147.47164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56.675519999999985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4.421875" style="140" customWidth="1"/>
    <col min="3" max="3" width="15.00390625" style="140" customWidth="1"/>
    <col min="4" max="4" width="10.57421875" style="140" customWidth="1"/>
    <col min="5" max="5" width="17.8515625" style="140" customWidth="1"/>
    <col min="6" max="6" width="27.421875" style="140" customWidth="1"/>
    <col min="7" max="7" width="22.57421875" style="140" customWidth="1"/>
    <col min="8" max="8" width="23.57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9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9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2022.2399999999998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1027.75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960.41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34.08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3550.7022248879257</v>
      </c>
      <c r="D25" s="57">
        <v>0</v>
      </c>
      <c r="E25" s="58">
        <v>4062.527</v>
      </c>
      <c r="F25" s="58">
        <v>3967.8500000000004</v>
      </c>
      <c r="G25" s="157">
        <v>20.762061600000003</v>
      </c>
      <c r="H25" s="59">
        <f>E25-F25</f>
        <v>94.67699999999968</v>
      </c>
    </row>
    <row r="26" spans="1:8" s="143" customFormat="1" ht="18">
      <c r="A26" s="60" t="s">
        <v>36</v>
      </c>
      <c r="B26" s="61" t="s">
        <v>37</v>
      </c>
      <c r="C26" s="62">
        <v>370.69091</v>
      </c>
      <c r="D26" s="62"/>
      <c r="E26" s="63">
        <v>685.94</v>
      </c>
      <c r="F26" s="63">
        <v>669.78</v>
      </c>
      <c r="G26" s="63">
        <v>3.6036504000000007</v>
      </c>
      <c r="H26" s="64">
        <f>E26-F26</f>
        <v>16.160000000000082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3180.011314887926</v>
      </c>
      <c r="D50" s="62">
        <v>0</v>
      </c>
      <c r="E50" s="63">
        <v>3376.587</v>
      </c>
      <c r="F50" s="63">
        <v>3298.07</v>
      </c>
      <c r="G50" s="63">
        <v>17.1584112</v>
      </c>
      <c r="H50" s="64">
        <f aca="true" t="shared" si="0" ref="H50:H62">E50-F50</f>
        <v>78.51699999999983</v>
      </c>
    </row>
    <row r="51" spans="1:8" ht="15">
      <c r="A51" s="77" t="s">
        <v>84</v>
      </c>
      <c r="B51" s="78" t="s">
        <v>85</v>
      </c>
      <c r="C51" s="79">
        <v>441.6099853134715</v>
      </c>
      <c r="D51" s="80"/>
      <c r="E51" s="73">
        <v>226.504</v>
      </c>
      <c r="F51" s="73">
        <v>221.01</v>
      </c>
      <c r="G51" s="81">
        <v>1.1564112000000002</v>
      </c>
      <c r="H51" s="82">
        <f t="shared" si="0"/>
        <v>5.494</v>
      </c>
    </row>
    <row r="52" spans="1:8" s="158" customFormat="1" ht="15">
      <c r="A52" s="77" t="s">
        <v>86</v>
      </c>
      <c r="B52" s="78" t="s">
        <v>87</v>
      </c>
      <c r="C52" s="79">
        <v>485.6717575377379</v>
      </c>
      <c r="D52" s="80"/>
      <c r="E52" s="73">
        <v>617.665</v>
      </c>
      <c r="F52" s="73">
        <v>603.11</v>
      </c>
      <c r="G52" s="81">
        <v>3.281476800000001</v>
      </c>
      <c r="H52" s="82">
        <f t="shared" si="0"/>
        <v>14.55499999999995</v>
      </c>
    </row>
    <row r="53" spans="1:8" s="159" customFormat="1" ht="16.5">
      <c r="A53" s="77" t="s">
        <v>88</v>
      </c>
      <c r="B53" s="78" t="s">
        <v>89</v>
      </c>
      <c r="C53" s="79">
        <v>96.86875360514851</v>
      </c>
      <c r="D53" s="80"/>
      <c r="E53" s="73">
        <v>94.778</v>
      </c>
      <c r="F53" s="73">
        <v>92.85</v>
      </c>
      <c r="G53" s="81">
        <v>0.48859440000000004</v>
      </c>
      <c r="H53" s="82">
        <f t="shared" si="0"/>
        <v>1.9280000000000115</v>
      </c>
    </row>
    <row r="54" spans="1:8" s="160" customFormat="1" ht="15">
      <c r="A54" s="77" t="s">
        <v>90</v>
      </c>
      <c r="B54" s="78" t="s">
        <v>91</v>
      </c>
      <c r="C54" s="79">
        <v>318.0070216190296</v>
      </c>
      <c r="D54" s="80"/>
      <c r="E54" s="73">
        <v>304.415</v>
      </c>
      <c r="F54" s="73">
        <v>297.19</v>
      </c>
      <c r="G54" s="81">
        <v>1.5276576</v>
      </c>
      <c r="H54" s="82">
        <f t="shared" si="0"/>
        <v>7.225000000000023</v>
      </c>
    </row>
    <row r="55" spans="1:8" ht="32.25" customHeight="1">
      <c r="A55" s="77" t="s">
        <v>92</v>
      </c>
      <c r="B55" s="78" t="s">
        <v>93</v>
      </c>
      <c r="C55" s="79">
        <v>1206.4886493520526</v>
      </c>
      <c r="D55" s="80"/>
      <c r="E55" s="73">
        <v>1511.634</v>
      </c>
      <c r="F55" s="73">
        <v>1476.44</v>
      </c>
      <c r="G55" s="81">
        <v>7.704429600000001</v>
      </c>
      <c r="H55" s="82">
        <f t="shared" si="0"/>
        <v>35.19399999999996</v>
      </c>
    </row>
    <row r="56" spans="1:8" ht="15">
      <c r="A56" s="77" t="s">
        <v>94</v>
      </c>
      <c r="B56" s="78" t="s">
        <v>95</v>
      </c>
      <c r="C56" s="79">
        <v>355.13422074897926</v>
      </c>
      <c r="D56" s="80"/>
      <c r="E56" s="73">
        <v>321.282</v>
      </c>
      <c r="F56" s="73">
        <v>313.86</v>
      </c>
      <c r="G56" s="81">
        <v>1.7218152000000002</v>
      </c>
      <c r="H56" s="82">
        <f t="shared" si="0"/>
        <v>7.421999999999969</v>
      </c>
    </row>
    <row r="57" spans="1:8" ht="17.25" customHeight="1">
      <c r="A57" s="77" t="s">
        <v>96</v>
      </c>
      <c r="B57" s="78" t="s">
        <v>97</v>
      </c>
      <c r="C57" s="79">
        <v>34.670721845786446</v>
      </c>
      <c r="D57" s="80"/>
      <c r="E57" s="73">
        <v>49.798</v>
      </c>
      <c r="F57" s="73">
        <v>49.2</v>
      </c>
      <c r="G57" s="81">
        <v>0.2602992</v>
      </c>
      <c r="H57" s="82">
        <f t="shared" si="0"/>
        <v>0.597999999999999</v>
      </c>
    </row>
    <row r="58" spans="1:8" ht="15">
      <c r="A58" s="77" t="s">
        <v>98</v>
      </c>
      <c r="B58" s="78" t="s">
        <v>99</v>
      </c>
      <c r="C58" s="79">
        <v>201.96363083349178</v>
      </c>
      <c r="D58" s="80"/>
      <c r="E58" s="73">
        <v>195.982</v>
      </c>
      <c r="F58" s="73">
        <v>191.25</v>
      </c>
      <c r="G58" s="81">
        <v>1.002792</v>
      </c>
      <c r="H58" s="82">
        <f t="shared" si="0"/>
        <v>4.731999999999999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2.984416528343481</v>
      </c>
      <c r="D61" s="80"/>
      <c r="E61" s="73">
        <v>3.212</v>
      </c>
      <c r="F61" s="73">
        <v>3.17</v>
      </c>
      <c r="G61" s="81">
        <v>0.014935200000000003</v>
      </c>
      <c r="H61" s="82">
        <f t="shared" si="0"/>
        <v>0.04200000000000026</v>
      </c>
    </row>
    <row r="62" spans="1:8" s="143" customFormat="1" ht="15.75" thickBot="1">
      <c r="A62" s="83" t="s">
        <v>106</v>
      </c>
      <c r="B62" s="84" t="s">
        <v>107</v>
      </c>
      <c r="C62" s="85">
        <v>36.612157503885314</v>
      </c>
      <c r="D62" s="86"/>
      <c r="E62" s="87">
        <v>51.317</v>
      </c>
      <c r="F62" s="87">
        <v>49.99</v>
      </c>
      <c r="G62" s="88">
        <v>0</v>
      </c>
      <c r="H62" s="89">
        <f t="shared" si="0"/>
        <v>1.3269999999999982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302.6927404</v>
      </c>
      <c r="D63" s="93"/>
      <c r="E63" s="94" t="s">
        <v>110</v>
      </c>
      <c r="F63" s="94"/>
      <c r="G63" s="163">
        <v>1.7794800526915773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4820.584337133972</v>
      </c>
      <c r="D64" s="111"/>
      <c r="E64" s="167">
        <v>4598.401599999999</v>
      </c>
      <c r="F64" s="167">
        <v>4318.1645</v>
      </c>
      <c r="G64" s="167">
        <v>13.1131056</v>
      </c>
      <c r="H64" s="168">
        <f>E64-F64</f>
        <v>280.2370999999994</v>
      </c>
    </row>
    <row r="65" spans="1:8" ht="15.75" thickTop="1">
      <c r="A65" s="169"/>
      <c r="B65" s="170" t="s">
        <v>113</v>
      </c>
      <c r="C65" s="171">
        <v>2576.9892248072815</v>
      </c>
      <c r="D65" s="171"/>
      <c r="E65" s="172">
        <v>2492.86923</v>
      </c>
      <c r="F65" s="172">
        <v>2416.6</v>
      </c>
      <c r="G65" s="163">
        <v>13.1131056</v>
      </c>
      <c r="H65" s="173">
        <f>E65-F65</f>
        <v>76.26922999999988</v>
      </c>
    </row>
    <row r="66" spans="1:8" ht="15">
      <c r="A66" s="101"/>
      <c r="B66" s="116" t="s">
        <v>114</v>
      </c>
      <c r="C66" s="103">
        <v>583.2606334177303</v>
      </c>
      <c r="D66" s="103"/>
      <c r="E66" s="73">
        <v>547.36888</v>
      </c>
      <c r="F66" s="73">
        <v>521.615</v>
      </c>
      <c r="G66" s="81"/>
      <c r="H66" s="104">
        <f>E66-F66</f>
        <v>25.75387999999998</v>
      </c>
    </row>
    <row r="67" spans="1:8" ht="15">
      <c r="A67" s="101"/>
      <c r="B67" s="116" t="s">
        <v>115</v>
      </c>
      <c r="C67" s="103">
        <v>502.794572569689</v>
      </c>
      <c r="D67" s="103"/>
      <c r="E67" s="73">
        <v>471.85441</v>
      </c>
      <c r="F67" s="73">
        <v>449.971</v>
      </c>
      <c r="G67" s="81"/>
      <c r="H67" s="104">
        <f>E67-F67</f>
        <v>21.88340999999997</v>
      </c>
    </row>
    <row r="68" spans="1:8" ht="15">
      <c r="A68" s="101"/>
      <c r="B68" s="116" t="s">
        <v>116</v>
      </c>
      <c r="C68" s="103">
        <v>678.0557847569542</v>
      </c>
      <c r="D68" s="103"/>
      <c r="E68" s="73">
        <v>636.33068</v>
      </c>
      <c r="F68" s="73">
        <v>607.96</v>
      </c>
      <c r="G68" s="81"/>
      <c r="H68" s="104">
        <f>E68-F68</f>
        <v>28.370679999999993</v>
      </c>
    </row>
    <row r="69" spans="1:8" ht="15.75" thickBot="1">
      <c r="A69" s="105"/>
      <c r="B69" s="174" t="s">
        <v>117</v>
      </c>
      <c r="C69" s="107">
        <v>479.48412158231724</v>
      </c>
      <c r="D69" s="107"/>
      <c r="E69" s="87">
        <v>449.9784</v>
      </c>
      <c r="F69" s="87">
        <v>322.01849999999996</v>
      </c>
      <c r="G69" s="88"/>
      <c r="H69" s="108">
        <f>46.96732+41.43332</f>
        <v>88.40064000000001</v>
      </c>
    </row>
    <row r="70" spans="1:8" ht="20.25" customHeight="1" thickBot="1" thickTop="1">
      <c r="A70" s="175" t="s">
        <v>118</v>
      </c>
      <c r="B70" s="166" t="s">
        <v>119</v>
      </c>
      <c r="C70" s="111">
        <v>8371.286562021898</v>
      </c>
      <c r="D70" s="111"/>
      <c r="E70" s="166">
        <v>8660.9286</v>
      </c>
      <c r="F70" s="166">
        <v>8286.014500000001</v>
      </c>
      <c r="G70" s="166">
        <v>33.87516720000001</v>
      </c>
      <c r="H70" s="168">
        <f>H25+H64</f>
        <v>374.91409999999905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222.89996</v>
      </c>
      <c r="F71" s="166">
        <v>214.44998</v>
      </c>
      <c r="G71" s="166">
        <v>0</v>
      </c>
      <c r="H71" s="168">
        <f>E71-F71</f>
        <v>8.449979999999982</v>
      </c>
    </row>
    <row r="72" spans="1:8" ht="15.75" thickTop="1">
      <c r="A72" s="176"/>
      <c r="B72" s="170" t="s">
        <v>122</v>
      </c>
      <c r="C72" s="177"/>
      <c r="D72" s="177"/>
      <c r="E72" s="117">
        <v>222.89996</v>
      </c>
      <c r="F72" s="117">
        <v>214.44998</v>
      </c>
      <c r="G72" s="117"/>
      <c r="H72" s="104">
        <f>E72-F72</f>
        <v>8.449979999999982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901.535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3.2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2405.6040799999987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1122.4269999999997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1240.6470999999992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42.52997999999998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tabColor theme="6" tint="-0.24997000396251678"/>
  </sheetPr>
  <dimension ref="A1:H104"/>
  <sheetViews>
    <sheetView zoomScaleSheetLayoutView="7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140625" style="2" customWidth="1"/>
    <col min="4" max="4" width="10.57421875" style="2" customWidth="1"/>
    <col min="5" max="5" width="19.57421875" style="2" customWidth="1"/>
    <col min="6" max="6" width="23.8515625" style="2" customWidth="1"/>
    <col min="7" max="7" width="24.140625" style="2" customWidth="1"/>
    <col min="8" max="8" width="28.00390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10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10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993.53</v>
      </c>
      <c r="F19" s="39" t="s">
        <v>20</v>
      </c>
    </row>
    <row r="20" spans="1:6" s="8" customFormat="1" ht="18">
      <c r="A20" s="35"/>
      <c r="B20" s="8" t="s">
        <v>21</v>
      </c>
      <c r="E20" s="146">
        <v>579.43</v>
      </c>
      <c r="F20" s="8" t="s">
        <v>20</v>
      </c>
    </row>
    <row r="21" spans="1:6" s="8" customFormat="1" ht="18">
      <c r="A21" s="41"/>
      <c r="B21" s="8" t="s">
        <v>22</v>
      </c>
      <c r="E21" s="146">
        <v>377.55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36.55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3028.7052711601905</v>
      </c>
      <c r="D25" s="57">
        <v>0</v>
      </c>
      <c r="E25" s="58">
        <v>2399.618</v>
      </c>
      <c r="F25" s="58">
        <v>2325.6</v>
      </c>
      <c r="G25" s="58">
        <v>397.8959616</v>
      </c>
      <c r="H25" s="59">
        <f>E25-F25</f>
        <v>74.01800000000003</v>
      </c>
    </row>
    <row r="26" spans="1:8" s="30" customFormat="1" ht="18">
      <c r="A26" s="60" t="s">
        <v>36</v>
      </c>
      <c r="B26" s="61" t="s">
        <v>37</v>
      </c>
      <c r="C26" s="62">
        <v>1131.93018</v>
      </c>
      <c r="D26" s="62"/>
      <c r="E26" s="63">
        <v>657.392</v>
      </c>
      <c r="F26" s="63">
        <v>670.46</v>
      </c>
      <c r="G26" s="63">
        <v>120.96279360000003</v>
      </c>
      <c r="H26" s="64">
        <f>E26-F26</f>
        <v>-13.067999999999984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1896.7750911601904</v>
      </c>
      <c r="D50" s="62">
        <v>0</v>
      </c>
      <c r="E50" s="63">
        <v>1742.2259999999999</v>
      </c>
      <c r="F50" s="63">
        <v>1655.1399999999999</v>
      </c>
      <c r="G50" s="63">
        <v>276.933168</v>
      </c>
      <c r="H50" s="64">
        <f aca="true" t="shared" si="0" ref="H50:H62">E50-F50</f>
        <v>87.08600000000001</v>
      </c>
    </row>
    <row r="51" spans="1:8" ht="15">
      <c r="A51" s="77" t="s">
        <v>84</v>
      </c>
      <c r="B51" s="78" t="s">
        <v>85</v>
      </c>
      <c r="C51" s="79">
        <v>512.5061456283171</v>
      </c>
      <c r="D51" s="80"/>
      <c r="E51" s="73">
        <v>262.867</v>
      </c>
      <c r="F51" s="73">
        <v>258.61</v>
      </c>
      <c r="G51" s="81">
        <v>44.28912960000001</v>
      </c>
      <c r="H51" s="82">
        <f t="shared" si="0"/>
        <v>4.257000000000005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54.5636675174034</v>
      </c>
      <c r="D53" s="80"/>
      <c r="E53" s="73">
        <v>53.386</v>
      </c>
      <c r="F53" s="73">
        <v>52.56</v>
      </c>
      <c r="G53" s="81">
        <v>9.029332800000002</v>
      </c>
      <c r="H53" s="82">
        <f t="shared" si="0"/>
        <v>0.8260000000000005</v>
      </c>
    </row>
    <row r="54" spans="1:8" ht="15">
      <c r="A54" s="77" t="s">
        <v>90</v>
      </c>
      <c r="B54" s="78" t="s">
        <v>91</v>
      </c>
      <c r="C54" s="79">
        <v>229.74666242993385</v>
      </c>
      <c r="D54" s="80"/>
      <c r="E54" s="73">
        <v>219.927</v>
      </c>
      <c r="F54" s="73">
        <v>216.28</v>
      </c>
      <c r="G54" s="81">
        <v>36.11733120000001</v>
      </c>
      <c r="H54" s="82">
        <f t="shared" si="0"/>
        <v>3.6469999999999914</v>
      </c>
    </row>
    <row r="55" spans="1:8" ht="31.5" customHeight="1">
      <c r="A55" s="77" t="s">
        <v>92</v>
      </c>
      <c r="B55" s="78" t="s">
        <v>93</v>
      </c>
      <c r="C55" s="79">
        <v>462.21698711553853</v>
      </c>
      <c r="D55" s="80"/>
      <c r="E55" s="73">
        <v>579.121</v>
      </c>
      <c r="F55" s="73">
        <v>569.54</v>
      </c>
      <c r="G55" s="81">
        <v>93.3703632</v>
      </c>
      <c r="H55" s="82">
        <f t="shared" si="0"/>
        <v>9.581000000000017</v>
      </c>
    </row>
    <row r="56" spans="1:8" ht="15">
      <c r="A56" s="77" t="s">
        <v>94</v>
      </c>
      <c r="B56" s="78" t="s">
        <v>95</v>
      </c>
      <c r="C56" s="79">
        <v>349.57533479786275</v>
      </c>
      <c r="D56" s="80"/>
      <c r="E56" s="73">
        <v>316.253</v>
      </c>
      <c r="F56" s="73">
        <v>310.93</v>
      </c>
      <c r="G56" s="81">
        <v>55.588406400000004</v>
      </c>
      <c r="H56" s="82">
        <f t="shared" si="0"/>
        <v>5.322999999999979</v>
      </c>
    </row>
    <row r="57" spans="1:8" ht="15">
      <c r="A57" s="77" t="s">
        <v>96</v>
      </c>
      <c r="B57" s="78" t="s">
        <v>97</v>
      </c>
      <c r="C57" s="79">
        <v>8.888036368595321</v>
      </c>
      <c r="D57" s="80"/>
      <c r="E57" s="73">
        <v>12.766</v>
      </c>
      <c r="F57" s="73">
        <v>12.56</v>
      </c>
      <c r="G57" s="81">
        <v>2.1690576</v>
      </c>
      <c r="H57" s="82">
        <f t="shared" si="0"/>
        <v>0.20599999999999952</v>
      </c>
    </row>
    <row r="58" spans="1:8" s="30" customFormat="1" ht="15.75">
      <c r="A58" s="77" t="s">
        <v>98</v>
      </c>
      <c r="B58" s="78" t="s">
        <v>99</v>
      </c>
      <c r="C58" s="79">
        <v>215.27693586526962</v>
      </c>
      <c r="D58" s="80"/>
      <c r="E58" s="73">
        <v>208.901</v>
      </c>
      <c r="F58" s="73">
        <v>205.35</v>
      </c>
      <c r="G58" s="81">
        <v>36.0164448</v>
      </c>
      <c r="H58" s="82">
        <f t="shared" si="0"/>
        <v>3.551000000000016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2.156547559864639</v>
      </c>
      <c r="D61" s="80"/>
      <c r="E61" s="73">
        <v>2.321</v>
      </c>
      <c r="F61" s="73">
        <v>2.33</v>
      </c>
      <c r="G61" s="81">
        <v>0.35310240000000004</v>
      </c>
      <c r="H61" s="82">
        <f t="shared" si="0"/>
        <v>-0.008999999999999897</v>
      </c>
    </row>
    <row r="62" spans="1:8" s="30" customFormat="1" ht="16.5" thickBot="1">
      <c r="A62" s="83" t="s">
        <v>106</v>
      </c>
      <c r="B62" s="84" t="s">
        <v>107</v>
      </c>
      <c r="C62" s="85">
        <v>61.844773877405046</v>
      </c>
      <c r="D62" s="86"/>
      <c r="E62" s="87">
        <v>86.684</v>
      </c>
      <c r="F62" s="87">
        <v>26.98</v>
      </c>
      <c r="G62" s="88">
        <v>0</v>
      </c>
      <c r="H62" s="89">
        <f t="shared" si="0"/>
        <v>59.70399999999999</v>
      </c>
    </row>
    <row r="63" spans="1:8" ht="46.5" hidden="1" thickBot="1" thickTop="1">
      <c r="A63" s="90" t="s">
        <v>108</v>
      </c>
      <c r="B63" s="91" t="s">
        <v>109</v>
      </c>
      <c r="C63" s="92">
        <v>-340.5073864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3171.237219774956</v>
      </c>
      <c r="D64" s="98"/>
      <c r="E64" s="99">
        <v>2960.91587</v>
      </c>
      <c r="F64" s="99">
        <v>2801.41107</v>
      </c>
      <c r="G64" s="99">
        <v>310.0239072</v>
      </c>
      <c r="H64" s="100">
        <f>E64-F64</f>
        <v>159.5047999999997</v>
      </c>
    </row>
    <row r="65" spans="1:8" ht="15">
      <c r="A65" s="101"/>
      <c r="B65" s="102" t="s">
        <v>113</v>
      </c>
      <c r="C65" s="103">
        <v>1964.2837832010944</v>
      </c>
      <c r="D65" s="103"/>
      <c r="E65" s="73">
        <v>1828.23399</v>
      </c>
      <c r="F65" s="73">
        <v>1720.468</v>
      </c>
      <c r="G65" s="81">
        <v>310.0239072</v>
      </c>
      <c r="H65" s="104">
        <f>E65-F65</f>
        <v>107.76598999999987</v>
      </c>
    </row>
    <row r="66" spans="1:8" ht="15">
      <c r="A66" s="101"/>
      <c r="B66" s="102" t="s">
        <v>114</v>
      </c>
      <c r="C66" s="103">
        <v>313.4697143870825</v>
      </c>
      <c r="D66" s="103"/>
      <c r="E66" s="73">
        <v>294.17992</v>
      </c>
      <c r="F66" s="73">
        <v>283.014</v>
      </c>
      <c r="G66" s="81"/>
      <c r="H66" s="104">
        <f>E66-F66</f>
        <v>11.165919999999971</v>
      </c>
    </row>
    <row r="67" spans="1:8" ht="15">
      <c r="A67" s="101"/>
      <c r="B67" s="102" t="s">
        <v>115</v>
      </c>
      <c r="C67" s="103">
        <v>263.2887063389581</v>
      </c>
      <c r="D67" s="103"/>
      <c r="E67" s="73">
        <v>247.08687</v>
      </c>
      <c r="F67" s="73">
        <v>238.2</v>
      </c>
      <c r="G67" s="81"/>
      <c r="H67" s="104">
        <f>E67-F67</f>
        <v>8.886870000000016</v>
      </c>
    </row>
    <row r="68" spans="1:8" ht="15">
      <c r="A68" s="101"/>
      <c r="B68" s="102" t="s">
        <v>116</v>
      </c>
      <c r="C68" s="103">
        <v>357.396212475255</v>
      </c>
      <c r="D68" s="103"/>
      <c r="E68" s="73">
        <v>335.40334</v>
      </c>
      <c r="F68" s="73">
        <v>322.376</v>
      </c>
      <c r="G68" s="81"/>
      <c r="H68" s="104">
        <f>E68-F68</f>
        <v>13.027340000000038</v>
      </c>
    </row>
    <row r="69" spans="1:8" ht="15.75" thickBot="1">
      <c r="A69" s="105"/>
      <c r="B69" s="106" t="s">
        <v>117</v>
      </c>
      <c r="C69" s="107">
        <v>272.7988033725659</v>
      </c>
      <c r="D69" s="107"/>
      <c r="E69" s="87">
        <v>256.01175</v>
      </c>
      <c r="F69" s="87">
        <v>237.35307</v>
      </c>
      <c r="G69" s="88"/>
      <c r="H69" s="108">
        <f>(16470.77+14150.273)/1000</f>
        <v>30.621042999999997</v>
      </c>
    </row>
    <row r="70" spans="1:8" ht="19.5" thickBot="1" thickTop="1">
      <c r="A70" s="109" t="s">
        <v>118</v>
      </c>
      <c r="B70" s="110" t="s">
        <v>119</v>
      </c>
      <c r="C70" s="111">
        <v>6199.942490935146</v>
      </c>
      <c r="D70" s="111"/>
      <c r="E70" s="112">
        <v>5360.533869999999</v>
      </c>
      <c r="F70" s="112">
        <v>5127.0110700000005</v>
      </c>
      <c r="G70" s="112">
        <v>707.9198688</v>
      </c>
      <c r="H70" s="113">
        <f>H25+H64</f>
        <v>233.52279999999973</v>
      </c>
    </row>
    <row r="71" spans="1:8" ht="19.5" thickBot="1" thickTop="1">
      <c r="A71" s="109" t="s">
        <v>120</v>
      </c>
      <c r="B71" s="110" t="s">
        <v>121</v>
      </c>
      <c r="C71" s="114">
        <v>10640.2016</v>
      </c>
      <c r="D71" s="114"/>
      <c r="E71" s="112">
        <v>161.57069</v>
      </c>
      <c r="F71" s="112">
        <v>159.16558</v>
      </c>
      <c r="G71" s="112">
        <v>10640.2016</v>
      </c>
      <c r="H71" s="113">
        <f>E71-F71</f>
        <v>2.4051100000000076</v>
      </c>
    </row>
    <row r="72" spans="1:8" ht="15.75" thickTop="1">
      <c r="A72" s="115"/>
      <c r="B72" s="116" t="s">
        <v>122</v>
      </c>
      <c r="C72" s="103"/>
      <c r="D72" s="103"/>
      <c r="E72" s="81">
        <v>152.7255</v>
      </c>
      <c r="F72" s="81">
        <v>151.05748</v>
      </c>
      <c r="G72" s="117"/>
      <c r="H72" s="104">
        <f>E72-F72</f>
        <v>1.6680200000000127</v>
      </c>
    </row>
    <row r="73" spans="1:8" ht="15">
      <c r="A73" s="115"/>
      <c r="B73" s="116" t="s">
        <v>123</v>
      </c>
      <c r="C73" s="118"/>
      <c r="D73" s="118"/>
      <c r="E73" s="81">
        <v>8.84519</v>
      </c>
      <c r="F73" s="81">
        <v>8.1081</v>
      </c>
      <c r="G73" s="119"/>
      <c r="H73" s="104">
        <f>E73-F73</f>
        <v>0.7370900000000002</v>
      </c>
    </row>
    <row r="74" spans="1:8" ht="29.25" thickBot="1">
      <c r="A74" s="120"/>
      <c r="B74" s="121" t="s">
        <v>124</v>
      </c>
      <c r="C74" s="122"/>
      <c r="D74" s="123"/>
      <c r="E74" s="124">
        <v>426.051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975.56126</v>
      </c>
      <c r="D75" s="114"/>
      <c r="E75" s="112">
        <v>975.56126</v>
      </c>
      <c r="F75" s="112">
        <v>916.50932</v>
      </c>
      <c r="G75" s="112"/>
      <c r="H75" s="113">
        <f>E75-F75</f>
        <v>59.051939999999945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1228.7208199999998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653.448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537.0547999999997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38.21802000000001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4.28125" style="140" customWidth="1"/>
    <col min="3" max="3" width="16.28125" style="140" customWidth="1"/>
    <col min="4" max="4" width="9.7109375" style="140" customWidth="1"/>
    <col min="5" max="5" width="22.140625" style="140" customWidth="1"/>
    <col min="6" max="6" width="25.57421875" style="140" customWidth="1"/>
    <col min="7" max="7" width="19.8515625" style="140" customWidth="1"/>
    <col min="8" max="8" width="23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49.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11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2076.87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1091.12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940.67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45.08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3353.5208475434874</v>
      </c>
      <c r="D25" s="57">
        <v>0</v>
      </c>
      <c r="E25" s="58">
        <v>4031.713</v>
      </c>
      <c r="F25" s="58">
        <v>4215.49</v>
      </c>
      <c r="G25" s="157">
        <v>21.0306372</v>
      </c>
      <c r="H25" s="59">
        <f>E25-F25</f>
        <v>-183.7769999999996</v>
      </c>
    </row>
    <row r="26" spans="1:8" s="143" customFormat="1" ht="18">
      <c r="A26" s="60" t="s">
        <v>36</v>
      </c>
      <c r="B26" s="61" t="s">
        <v>37</v>
      </c>
      <c r="C26" s="62">
        <v>204.69452</v>
      </c>
      <c r="D26" s="62"/>
      <c r="E26" s="63">
        <v>663.541</v>
      </c>
      <c r="F26" s="63">
        <v>693.87</v>
      </c>
      <c r="G26" s="63">
        <v>3.6502668</v>
      </c>
      <c r="H26" s="64">
        <f>E26-F26</f>
        <v>-30.32899999999995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3148.8263275434874</v>
      </c>
      <c r="D50" s="62">
        <v>0</v>
      </c>
      <c r="E50" s="63">
        <v>3368.172</v>
      </c>
      <c r="F50" s="63">
        <v>3521.62</v>
      </c>
      <c r="G50" s="63">
        <v>17.380370399999997</v>
      </c>
      <c r="H50" s="64">
        <f aca="true" t="shared" si="0" ref="H50:H62">E50-F50</f>
        <v>-153.44799999999987</v>
      </c>
    </row>
    <row r="51" spans="1:8" ht="15">
      <c r="A51" s="77" t="s">
        <v>84</v>
      </c>
      <c r="B51" s="78" t="s">
        <v>85</v>
      </c>
      <c r="C51" s="79">
        <v>427.18626356308715</v>
      </c>
      <c r="D51" s="80"/>
      <c r="E51" s="73">
        <v>219.106</v>
      </c>
      <c r="F51" s="73">
        <v>228.9</v>
      </c>
      <c r="G51" s="81">
        <v>1.1713704</v>
      </c>
      <c r="H51" s="82">
        <f t="shared" si="0"/>
        <v>-9.794000000000011</v>
      </c>
    </row>
    <row r="52" spans="1:8" s="158" customFormat="1" ht="15">
      <c r="A52" s="77" t="s">
        <v>86</v>
      </c>
      <c r="B52" s="78" t="s">
        <v>87</v>
      </c>
      <c r="C52" s="79">
        <v>469.80888359058804</v>
      </c>
      <c r="D52" s="80"/>
      <c r="E52" s="73">
        <v>597.491</v>
      </c>
      <c r="F52" s="73">
        <v>624.74</v>
      </c>
      <c r="G52" s="81">
        <v>3.3239256</v>
      </c>
      <c r="H52" s="82">
        <f t="shared" si="0"/>
        <v>-27.249000000000024</v>
      </c>
    </row>
    <row r="53" spans="1:8" s="159" customFormat="1" ht="16.5">
      <c r="A53" s="77" t="s">
        <v>88</v>
      </c>
      <c r="B53" s="78" t="s">
        <v>89</v>
      </c>
      <c r="C53" s="79">
        <v>93.7044574482182</v>
      </c>
      <c r="D53" s="80"/>
      <c r="E53" s="73">
        <v>91.682</v>
      </c>
      <c r="F53" s="73">
        <v>95.69</v>
      </c>
      <c r="G53" s="81">
        <v>0.4949148</v>
      </c>
      <c r="H53" s="82">
        <f t="shared" si="0"/>
        <v>-4.007999999999996</v>
      </c>
    </row>
    <row r="54" spans="1:8" s="160" customFormat="1" ht="15">
      <c r="A54" s="77" t="s">
        <v>90</v>
      </c>
      <c r="B54" s="78" t="s">
        <v>91</v>
      </c>
      <c r="C54" s="79">
        <v>307.6200702008734</v>
      </c>
      <c r="D54" s="80"/>
      <c r="E54" s="73">
        <v>294.472</v>
      </c>
      <c r="F54" s="73">
        <v>307.73</v>
      </c>
      <c r="G54" s="81">
        <v>1.5474192</v>
      </c>
      <c r="H54" s="82">
        <f t="shared" si="0"/>
        <v>-13.258000000000038</v>
      </c>
    </row>
    <row r="55" spans="1:8" ht="30" customHeight="1">
      <c r="A55" s="77" t="s">
        <v>92</v>
      </c>
      <c r="B55" s="78" t="s">
        <v>93</v>
      </c>
      <c r="C55" s="79">
        <v>1167.0831070079337</v>
      </c>
      <c r="D55" s="80"/>
      <c r="E55" s="73">
        <v>1462.262</v>
      </c>
      <c r="F55" s="73">
        <v>1528.96</v>
      </c>
      <c r="G55" s="81">
        <v>7.8040932000000005</v>
      </c>
      <c r="H55" s="82">
        <f t="shared" si="0"/>
        <v>-66.69800000000009</v>
      </c>
    </row>
    <row r="56" spans="1:8" ht="15">
      <c r="A56" s="77" t="s">
        <v>94</v>
      </c>
      <c r="B56" s="78" t="s">
        <v>95</v>
      </c>
      <c r="C56" s="79">
        <v>343.53561460758624</v>
      </c>
      <c r="D56" s="80"/>
      <c r="E56" s="73">
        <v>310.789</v>
      </c>
      <c r="F56" s="73">
        <v>325.44</v>
      </c>
      <c r="G56" s="81">
        <v>1.7440883999999999</v>
      </c>
      <c r="H56" s="82">
        <f t="shared" si="0"/>
        <v>-14.65100000000001</v>
      </c>
    </row>
    <row r="57" spans="1:8" ht="17.25" customHeight="1">
      <c r="A57" s="77" t="s">
        <v>96</v>
      </c>
      <c r="B57" s="78" t="s">
        <v>97</v>
      </c>
      <c r="C57" s="79">
        <v>33.53865642706985</v>
      </c>
      <c r="D57" s="80"/>
      <c r="E57" s="73">
        <v>48.172</v>
      </c>
      <c r="F57" s="73">
        <v>50.16</v>
      </c>
      <c r="G57" s="81">
        <v>0.26366639999999997</v>
      </c>
      <c r="H57" s="82">
        <f t="shared" si="0"/>
        <v>-1.9879999999999995</v>
      </c>
    </row>
    <row r="58" spans="1:8" ht="15">
      <c r="A58" s="77" t="s">
        <v>98</v>
      </c>
      <c r="B58" s="78" t="s">
        <v>99</v>
      </c>
      <c r="C58" s="79">
        <v>195.3672638152698</v>
      </c>
      <c r="D58" s="80"/>
      <c r="E58" s="73">
        <v>189.581</v>
      </c>
      <c r="F58" s="73">
        <v>198.13</v>
      </c>
      <c r="G58" s="81">
        <v>1.015764</v>
      </c>
      <c r="H58" s="82">
        <f t="shared" si="0"/>
        <v>-8.549000000000007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2.8877853580608774</v>
      </c>
      <c r="D61" s="80"/>
      <c r="E61" s="73">
        <v>3.108</v>
      </c>
      <c r="F61" s="73">
        <v>3.37</v>
      </c>
      <c r="G61" s="81">
        <v>0.0151284</v>
      </c>
      <c r="H61" s="82">
        <f t="shared" si="0"/>
        <v>-0.262</v>
      </c>
    </row>
    <row r="62" spans="1:8" s="143" customFormat="1" ht="15.75" thickBot="1">
      <c r="A62" s="83" t="s">
        <v>106</v>
      </c>
      <c r="B62" s="84" t="s">
        <v>107</v>
      </c>
      <c r="C62" s="85">
        <v>108.09422552479997</v>
      </c>
      <c r="D62" s="86"/>
      <c r="E62" s="87">
        <v>151.509</v>
      </c>
      <c r="F62" s="87">
        <v>158.5</v>
      </c>
      <c r="G62" s="88">
        <v>0</v>
      </c>
      <c r="H62" s="89">
        <f t="shared" si="0"/>
        <v>-6.991000000000014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492.82574680000005</v>
      </c>
      <c r="D63" s="93"/>
      <c r="E63" s="94" t="s">
        <v>110</v>
      </c>
      <c r="F63" s="94"/>
      <c r="G63" s="163">
        <v>1.8024991984800507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4679.810157378986</v>
      </c>
      <c r="D64" s="111"/>
      <c r="E64" s="167">
        <v>4479.044622</v>
      </c>
      <c r="F64" s="167">
        <v>4517.44656</v>
      </c>
      <c r="G64" s="167">
        <v>13.282735200000001</v>
      </c>
      <c r="H64" s="168">
        <f>E64-F64</f>
        <v>-38.40193799999997</v>
      </c>
    </row>
    <row r="65" spans="1:8" ht="15.75" thickTop="1">
      <c r="A65" s="169"/>
      <c r="B65" s="170" t="s">
        <v>113</v>
      </c>
      <c r="C65" s="171">
        <v>2573.211755993434</v>
      </c>
      <c r="D65" s="171"/>
      <c r="E65" s="172">
        <v>2502.07868</v>
      </c>
      <c r="F65" s="172">
        <v>2582.111</v>
      </c>
      <c r="G65" s="163">
        <v>13.282735200000001</v>
      </c>
      <c r="H65" s="173">
        <f>E65-F65</f>
        <v>-80.0323199999998</v>
      </c>
    </row>
    <row r="66" spans="1:8" ht="15">
      <c r="A66" s="101"/>
      <c r="B66" s="116" t="s">
        <v>114</v>
      </c>
      <c r="C66" s="103">
        <v>538.9224518123638</v>
      </c>
      <c r="D66" s="103"/>
      <c r="E66" s="73">
        <v>505.75911</v>
      </c>
      <c r="F66" s="73">
        <v>520.807</v>
      </c>
      <c r="G66" s="81"/>
      <c r="H66" s="104">
        <f>E66-F66</f>
        <v>-15.047889999999995</v>
      </c>
    </row>
    <row r="67" spans="1:8" ht="15">
      <c r="A67" s="101"/>
      <c r="B67" s="116" t="s">
        <v>115</v>
      </c>
      <c r="C67" s="103">
        <v>461.2306061500727</v>
      </c>
      <c r="D67" s="103"/>
      <c r="E67" s="73">
        <v>432.84814</v>
      </c>
      <c r="F67" s="73">
        <v>447.193</v>
      </c>
      <c r="G67" s="81"/>
      <c r="H67" s="104">
        <f>E67-F67</f>
        <v>-14.344859999999983</v>
      </c>
    </row>
    <row r="68" spans="1:8" ht="15">
      <c r="A68" s="101"/>
      <c r="B68" s="116" t="s">
        <v>116</v>
      </c>
      <c r="C68" s="103">
        <v>623.3983431505885</v>
      </c>
      <c r="D68" s="103"/>
      <c r="E68" s="73">
        <v>585.03666</v>
      </c>
      <c r="F68" s="73">
        <v>601.755</v>
      </c>
      <c r="G68" s="81"/>
      <c r="H68" s="104">
        <f>E68-F68</f>
        <v>-16.718340000000012</v>
      </c>
    </row>
    <row r="69" spans="1:8" ht="15.75" thickBot="1">
      <c r="A69" s="105"/>
      <c r="B69" s="174" t="s">
        <v>117</v>
      </c>
      <c r="C69" s="107">
        <v>483.0470002725267</v>
      </c>
      <c r="D69" s="107"/>
      <c r="E69" s="87">
        <v>453.32203200000004</v>
      </c>
      <c r="F69" s="87">
        <v>365.58056</v>
      </c>
      <c r="G69" s="88"/>
      <c r="H69" s="108">
        <f>4.80044+38.442082</f>
        <v>43.242522</v>
      </c>
    </row>
    <row r="70" spans="1:8" ht="20.25" customHeight="1" thickBot="1" thickTop="1">
      <c r="A70" s="175" t="s">
        <v>118</v>
      </c>
      <c r="B70" s="166" t="s">
        <v>119</v>
      </c>
      <c r="C70" s="111">
        <v>8033.331004922474</v>
      </c>
      <c r="D70" s="111"/>
      <c r="E70" s="166">
        <v>8510.757622000001</v>
      </c>
      <c r="F70" s="166">
        <v>8732.93656</v>
      </c>
      <c r="G70" s="166">
        <v>34.313372400000006</v>
      </c>
      <c r="H70" s="168">
        <f>H25+H64</f>
        <v>-222.17893799999956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217.51723</v>
      </c>
      <c r="F71" s="166">
        <v>229.77617999999998</v>
      </c>
      <c r="G71" s="166">
        <v>0</v>
      </c>
      <c r="H71" s="168">
        <f>E71-F71</f>
        <v>-12.25894999999997</v>
      </c>
    </row>
    <row r="72" spans="1:8" ht="15.75" thickTop="1">
      <c r="A72" s="176"/>
      <c r="B72" s="170" t="s">
        <v>122</v>
      </c>
      <c r="C72" s="177"/>
      <c r="D72" s="177"/>
      <c r="E72" s="117">
        <v>217.51723</v>
      </c>
      <c r="F72" s="117">
        <v>229.77617999999998</v>
      </c>
      <c r="G72" s="117"/>
      <c r="H72" s="104">
        <f>E72-F72</f>
        <v>-12.25894999999997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880.345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f>E75</f>
        <v>0</v>
      </c>
      <c r="D75" s="114"/>
      <c r="E75" s="180"/>
      <c r="F75" s="180"/>
      <c r="G75" s="180"/>
      <c r="H75" s="168">
        <f>E75-F75</f>
        <v>0</v>
      </c>
    </row>
    <row r="76" spans="1:8" ht="21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1842.4321120000004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907.3430000000003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902.268062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32.82105000000003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rgb="FF00B050"/>
  </sheetPr>
  <dimension ref="A1:H104"/>
  <sheetViews>
    <sheetView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3.7109375" style="2" customWidth="1"/>
    <col min="4" max="4" width="9.7109375" style="2" customWidth="1"/>
    <col min="5" max="5" width="18.8515625" style="2" customWidth="1"/>
    <col min="6" max="6" width="23.8515625" style="2" customWidth="1"/>
    <col min="7" max="7" width="24.140625" style="2" customWidth="1"/>
    <col min="8" max="8" width="19.574218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12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12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1035.18</v>
      </c>
      <c r="F19" s="39" t="s">
        <v>20</v>
      </c>
    </row>
    <row r="20" spans="1:6" s="8" customFormat="1" ht="18">
      <c r="A20" s="35"/>
      <c r="B20" s="8" t="s">
        <v>21</v>
      </c>
      <c r="E20" s="146">
        <v>584.81</v>
      </c>
      <c r="F20" s="8" t="s">
        <v>20</v>
      </c>
    </row>
    <row r="21" spans="1:6" s="8" customFormat="1" ht="18">
      <c r="A21" s="41"/>
      <c r="B21" s="8" t="s">
        <v>22</v>
      </c>
      <c r="E21" s="146">
        <v>409.92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40.45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2726.0971708153675</v>
      </c>
      <c r="D25" s="57">
        <v>0</v>
      </c>
      <c r="E25" s="58">
        <v>3053.79255</v>
      </c>
      <c r="F25" s="58">
        <v>3137.33</v>
      </c>
      <c r="G25" s="58">
        <v>0</v>
      </c>
      <c r="H25" s="59">
        <f>E25-F25</f>
        <v>-83.53744999999981</v>
      </c>
    </row>
    <row r="26" spans="1:8" s="30" customFormat="1" ht="18">
      <c r="A26" s="60" t="s">
        <v>36</v>
      </c>
      <c r="B26" s="61" t="s">
        <v>37</v>
      </c>
      <c r="C26" s="62">
        <v>341.18224</v>
      </c>
      <c r="D26" s="62"/>
      <c r="E26" s="63">
        <v>902.035</v>
      </c>
      <c r="F26" s="63">
        <v>940.89</v>
      </c>
      <c r="G26" s="63">
        <v>0</v>
      </c>
      <c r="H26" s="64">
        <f>E26-F26</f>
        <v>-38.85500000000002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2384.9149308153674</v>
      </c>
      <c r="D50" s="62">
        <v>0</v>
      </c>
      <c r="E50" s="63">
        <v>2151.7575500000003</v>
      </c>
      <c r="F50" s="63">
        <v>2196.44</v>
      </c>
      <c r="G50" s="63">
        <v>0</v>
      </c>
      <c r="H50" s="64">
        <f aca="true" t="shared" si="0" ref="H50:H62">E50-F50</f>
        <v>-44.68244999999979</v>
      </c>
    </row>
    <row r="51" spans="1:8" ht="15">
      <c r="A51" s="77" t="s">
        <v>84</v>
      </c>
      <c r="B51" s="78" t="s">
        <v>85</v>
      </c>
      <c r="C51" s="79">
        <v>666.121316851997</v>
      </c>
      <c r="D51" s="80"/>
      <c r="E51" s="73">
        <v>341.657</v>
      </c>
      <c r="F51" s="73">
        <v>348.87</v>
      </c>
      <c r="G51" s="81">
        <v>0</v>
      </c>
      <c r="H51" s="82">
        <f t="shared" si="0"/>
        <v>-7.213000000000022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70.91764129228767</v>
      </c>
      <c r="D53" s="80"/>
      <c r="E53" s="73">
        <v>69.387</v>
      </c>
      <c r="F53" s="73">
        <v>70.9</v>
      </c>
      <c r="G53" s="81">
        <v>0</v>
      </c>
      <c r="H53" s="82">
        <f t="shared" si="0"/>
        <v>-1.5130000000000052</v>
      </c>
    </row>
    <row r="54" spans="1:8" ht="15">
      <c r="A54" s="77" t="s">
        <v>90</v>
      </c>
      <c r="B54" s="78" t="s">
        <v>91</v>
      </c>
      <c r="C54" s="79">
        <v>298.60787771526213</v>
      </c>
      <c r="D54" s="80"/>
      <c r="E54" s="73">
        <v>285.845</v>
      </c>
      <c r="F54" s="73">
        <v>291.77</v>
      </c>
      <c r="G54" s="81">
        <v>0</v>
      </c>
      <c r="H54" s="82">
        <f t="shared" si="0"/>
        <v>-5.9249999999999545</v>
      </c>
    </row>
    <row r="55" spans="1:8" ht="31.5" customHeight="1">
      <c r="A55" s="77" t="s">
        <v>92</v>
      </c>
      <c r="B55" s="78" t="s">
        <v>93</v>
      </c>
      <c r="C55" s="79">
        <v>600.7573346828261</v>
      </c>
      <c r="D55" s="80"/>
      <c r="E55" s="73">
        <v>752.701</v>
      </c>
      <c r="F55" s="73">
        <v>768.33</v>
      </c>
      <c r="G55" s="81">
        <v>0</v>
      </c>
      <c r="H55" s="82">
        <f t="shared" si="0"/>
        <v>-15.629000000000019</v>
      </c>
    </row>
    <row r="56" spans="1:8" ht="15">
      <c r="A56" s="77" t="s">
        <v>94</v>
      </c>
      <c r="B56" s="78" t="s">
        <v>95</v>
      </c>
      <c r="C56" s="79">
        <v>454.35408965813036</v>
      </c>
      <c r="D56" s="80"/>
      <c r="E56" s="73">
        <v>411.044</v>
      </c>
      <c r="F56" s="73">
        <v>419.46</v>
      </c>
      <c r="G56" s="81">
        <v>0</v>
      </c>
      <c r="H56" s="82">
        <f t="shared" si="0"/>
        <v>-8.415999999999997</v>
      </c>
    </row>
    <row r="57" spans="1:8" ht="15">
      <c r="A57" s="77" t="s">
        <v>96</v>
      </c>
      <c r="B57" s="78" t="s">
        <v>97</v>
      </c>
      <c r="C57" s="79">
        <v>11.551801615833742</v>
      </c>
      <c r="D57" s="80"/>
      <c r="E57" s="73">
        <v>16.592</v>
      </c>
      <c r="F57" s="73">
        <v>16.94</v>
      </c>
      <c r="G57" s="81">
        <v>0</v>
      </c>
      <c r="H57" s="82">
        <f t="shared" si="0"/>
        <v>-0.34800000000000253</v>
      </c>
    </row>
    <row r="58" spans="1:8" s="30" customFormat="1" ht="15.75">
      <c r="A58" s="77" t="s">
        <v>98</v>
      </c>
      <c r="B58" s="78" t="s">
        <v>99</v>
      </c>
      <c r="C58" s="79">
        <v>279.8025650608346</v>
      </c>
      <c r="D58" s="80"/>
      <c r="E58" s="73">
        <v>271.51555</v>
      </c>
      <c r="F58" s="73">
        <v>277.03</v>
      </c>
      <c r="G58" s="81">
        <v>0</v>
      </c>
      <c r="H58" s="82">
        <f t="shared" si="0"/>
        <v>-5.514449999999954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2.8023039381954975</v>
      </c>
      <c r="D61" s="80"/>
      <c r="E61" s="73">
        <v>3.016</v>
      </c>
      <c r="F61" s="73">
        <v>3.14</v>
      </c>
      <c r="G61" s="81">
        <v>0</v>
      </c>
      <c r="H61" s="82">
        <f t="shared" si="0"/>
        <v>-0.12400000000000011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599.70776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4148.683493023535</v>
      </c>
      <c r="D64" s="98"/>
      <c r="E64" s="99">
        <v>4027.1555795000004</v>
      </c>
      <c r="F64" s="99">
        <v>4101.80616</v>
      </c>
      <c r="G64" s="99">
        <v>0</v>
      </c>
      <c r="H64" s="100">
        <f>E64-F64</f>
        <v>-74.6505804999997</v>
      </c>
    </row>
    <row r="65" spans="1:8" ht="15">
      <c r="A65" s="101"/>
      <c r="B65" s="102" t="s">
        <v>113</v>
      </c>
      <c r="C65" s="103">
        <v>2341.388494887566</v>
      </c>
      <c r="D65" s="103"/>
      <c r="E65" s="73">
        <v>2331.07499</v>
      </c>
      <c r="F65" s="73">
        <v>2382.48</v>
      </c>
      <c r="G65" s="81">
        <v>0</v>
      </c>
      <c r="H65" s="104">
        <f>E65-F65</f>
        <v>-51.40500999999995</v>
      </c>
    </row>
    <row r="66" spans="1:8" ht="15">
      <c r="A66" s="101"/>
      <c r="B66" s="102" t="s">
        <v>114</v>
      </c>
      <c r="C66" s="103">
        <v>457.38368021821356</v>
      </c>
      <c r="D66" s="103"/>
      <c r="E66" s="73">
        <v>429.23794</v>
      </c>
      <c r="F66" s="73">
        <v>441.832</v>
      </c>
      <c r="G66" s="81"/>
      <c r="H66" s="104">
        <f>E66-F66</f>
        <v>-12.594060000000013</v>
      </c>
    </row>
    <row r="67" spans="1:8" ht="15">
      <c r="A67" s="101"/>
      <c r="B67" s="102" t="s">
        <v>115</v>
      </c>
      <c r="C67" s="103">
        <v>399.3843615647939</v>
      </c>
      <c r="D67" s="103"/>
      <c r="E67" s="73">
        <v>374.80769</v>
      </c>
      <c r="F67" s="73">
        <v>385.715</v>
      </c>
      <c r="G67" s="81"/>
      <c r="H67" s="104">
        <f>E67-F67</f>
        <v>-10.907309999999995</v>
      </c>
    </row>
    <row r="68" spans="1:8" ht="15">
      <c r="A68" s="101"/>
      <c r="B68" s="102" t="s">
        <v>116</v>
      </c>
      <c r="C68" s="103">
        <v>536.491329311656</v>
      </c>
      <c r="D68" s="103"/>
      <c r="E68" s="73">
        <v>503.47759</v>
      </c>
      <c r="F68" s="73">
        <v>516.876</v>
      </c>
      <c r="G68" s="81"/>
      <c r="H68" s="104">
        <f>E68-F68</f>
        <v>-13.398409999999956</v>
      </c>
    </row>
    <row r="69" spans="1:8" ht="15.75" thickBot="1">
      <c r="A69" s="105"/>
      <c r="B69" s="106" t="s">
        <v>117</v>
      </c>
      <c r="C69" s="107">
        <v>414.03562704130553</v>
      </c>
      <c r="D69" s="107"/>
      <c r="E69" s="87">
        <v>388.55736950000005</v>
      </c>
      <c r="F69" s="87">
        <v>374.90315999999996</v>
      </c>
      <c r="G69" s="88"/>
      <c r="H69" s="108">
        <f>(-18433.6+48772.8995)/1000</f>
        <v>30.339299500000003</v>
      </c>
    </row>
    <row r="70" spans="1:8" ht="19.5" thickBot="1" thickTop="1">
      <c r="A70" s="109" t="s">
        <v>118</v>
      </c>
      <c r="B70" s="110" t="s">
        <v>119</v>
      </c>
      <c r="C70" s="111">
        <v>6874.780663838903</v>
      </c>
      <c r="D70" s="111"/>
      <c r="E70" s="112">
        <v>7080.9481295000005</v>
      </c>
      <c r="F70" s="112">
        <v>7239.13616</v>
      </c>
      <c r="G70" s="112">
        <v>0</v>
      </c>
      <c r="H70" s="113">
        <f>H25+H64</f>
        <v>-158.1880304999995</v>
      </c>
    </row>
    <row r="71" spans="1:8" ht="19.5" thickBot="1" thickTop="1">
      <c r="A71" s="109" t="s">
        <v>120</v>
      </c>
      <c r="B71" s="110" t="s">
        <v>121</v>
      </c>
      <c r="C71" s="114">
        <v>4378.75698</v>
      </c>
      <c r="D71" s="114"/>
      <c r="E71" s="112">
        <v>212.12897</v>
      </c>
      <c r="F71" s="112">
        <v>215.58755</v>
      </c>
      <c r="G71" s="112">
        <v>4378.75698</v>
      </c>
      <c r="H71" s="113">
        <f>E71-F71</f>
        <v>-3.4585799999999836</v>
      </c>
    </row>
    <row r="72" spans="1:8" ht="15.75" thickTop="1">
      <c r="A72" s="115"/>
      <c r="B72" s="116" t="s">
        <v>122</v>
      </c>
      <c r="C72" s="103"/>
      <c r="D72" s="103"/>
      <c r="E72" s="81">
        <v>204.00198</v>
      </c>
      <c r="F72" s="81">
        <v>209.42645</v>
      </c>
      <c r="G72" s="117"/>
      <c r="H72" s="104">
        <f>E72-F72</f>
        <v>-5.424469999999985</v>
      </c>
    </row>
    <row r="73" spans="1:8" ht="15">
      <c r="A73" s="115"/>
      <c r="B73" s="116" t="s">
        <v>123</v>
      </c>
      <c r="C73" s="118"/>
      <c r="D73" s="118"/>
      <c r="E73" s="81">
        <v>8.12699</v>
      </c>
      <c r="F73" s="81">
        <v>6.1611</v>
      </c>
      <c r="G73" s="119"/>
      <c r="H73" s="104">
        <f>E73-F73</f>
        <v>1.965889999999999</v>
      </c>
    </row>
    <row r="74" spans="1:8" ht="29.25" thickBot="1">
      <c r="A74" s="120"/>
      <c r="B74" s="121" t="s">
        <v>124</v>
      </c>
      <c r="C74" s="122"/>
      <c r="D74" s="123"/>
      <c r="E74" s="124">
        <v>814.88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604.83419</v>
      </c>
      <c r="D75" s="114"/>
      <c r="E75" s="112">
        <v>604.83419</v>
      </c>
      <c r="F75" s="112">
        <v>594.11243</v>
      </c>
      <c r="G75" s="112"/>
      <c r="H75" s="113">
        <f>E75-F75</f>
        <v>10.721760000000017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871.5674995000005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501.27255000000014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335.2694195000003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35.02553000000002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>
    <tabColor rgb="FF00B050"/>
  </sheetPr>
  <dimension ref="A1:H104"/>
  <sheetViews>
    <sheetView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3.8515625" style="2" customWidth="1"/>
    <col min="4" max="4" width="10.00390625" style="2" customWidth="1"/>
    <col min="5" max="5" width="18.8515625" style="2" customWidth="1"/>
    <col min="6" max="6" width="23.8515625" style="2" customWidth="1"/>
    <col min="7" max="7" width="24.00390625" style="2" customWidth="1"/>
    <col min="8" max="8" width="18.71093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14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152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14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3152.1400000000003</v>
      </c>
      <c r="F19" s="39" t="s">
        <v>20</v>
      </c>
    </row>
    <row r="20" spans="1:6" s="8" customFormat="1" ht="18">
      <c r="A20" s="35"/>
      <c r="B20" s="8" t="s">
        <v>21</v>
      </c>
      <c r="E20" s="146">
        <v>1478.77</v>
      </c>
      <c r="F20" s="8" t="s">
        <v>20</v>
      </c>
    </row>
    <row r="21" spans="1:6" s="8" customFormat="1" ht="18">
      <c r="A21" s="41"/>
      <c r="B21" s="8" t="s">
        <v>22</v>
      </c>
      <c r="E21" s="146">
        <v>1595.2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78.17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3239.7995146002127</v>
      </c>
      <c r="D25" s="57">
        <v>0</v>
      </c>
      <c r="E25" s="58">
        <v>3596.446</v>
      </c>
      <c r="F25" s="58">
        <v>3578.407</v>
      </c>
      <c r="G25" s="58">
        <v>2.6361696</v>
      </c>
      <c r="H25" s="59">
        <f>E25-F25</f>
        <v>18.03899999999976</v>
      </c>
    </row>
    <row r="26" spans="1:8" s="30" customFormat="1" ht="18">
      <c r="A26" s="60" t="s">
        <v>36</v>
      </c>
      <c r="B26" s="61" t="s">
        <v>37</v>
      </c>
      <c r="C26" s="62">
        <v>431.09245</v>
      </c>
      <c r="D26" s="62"/>
      <c r="E26" s="63">
        <v>1062.327</v>
      </c>
      <c r="F26" s="63">
        <v>1073.177</v>
      </c>
      <c r="G26" s="63">
        <v>0.8014116000000001</v>
      </c>
      <c r="H26" s="64">
        <f>E26-F26</f>
        <v>-10.849999999999909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2808.7070646002126</v>
      </c>
      <c r="D50" s="62">
        <v>0</v>
      </c>
      <c r="E50" s="63">
        <v>2534.119</v>
      </c>
      <c r="F50" s="63">
        <v>2505.2300000000005</v>
      </c>
      <c r="G50" s="63">
        <v>1.834758</v>
      </c>
      <c r="H50" s="64">
        <f aca="true" t="shared" si="0" ref="H50:H62">E50-F50</f>
        <v>28.88899999999967</v>
      </c>
    </row>
    <row r="51" spans="1:8" ht="15">
      <c r="A51" s="77" t="s">
        <v>84</v>
      </c>
      <c r="B51" s="78" t="s">
        <v>85</v>
      </c>
      <c r="C51" s="79">
        <v>784.4882499673777</v>
      </c>
      <c r="D51" s="80"/>
      <c r="E51" s="73">
        <v>402.368</v>
      </c>
      <c r="F51" s="73">
        <v>397.92</v>
      </c>
      <c r="G51" s="81">
        <v>0.29342760000000007</v>
      </c>
      <c r="H51" s="82">
        <f t="shared" si="0"/>
        <v>4.447999999999979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83.51963470796939</v>
      </c>
      <c r="D53" s="80"/>
      <c r="E53" s="73">
        <v>81.717</v>
      </c>
      <c r="F53" s="73">
        <v>80.87</v>
      </c>
      <c r="G53" s="81">
        <v>0.05982180000000001</v>
      </c>
      <c r="H53" s="82">
        <f t="shared" si="0"/>
        <v>0.8469999999999942</v>
      </c>
    </row>
    <row r="54" spans="1:8" ht="15">
      <c r="A54" s="77" t="s">
        <v>90</v>
      </c>
      <c r="B54" s="78" t="s">
        <v>91</v>
      </c>
      <c r="C54" s="79">
        <v>351.6698117727724</v>
      </c>
      <c r="D54" s="80"/>
      <c r="E54" s="73">
        <v>336.639</v>
      </c>
      <c r="F54" s="73">
        <v>332.79</v>
      </c>
      <c r="G54" s="81">
        <v>0.23928720000000003</v>
      </c>
      <c r="H54" s="82">
        <f t="shared" si="0"/>
        <v>3.8489999999999895</v>
      </c>
    </row>
    <row r="55" spans="1:8" ht="31.5" customHeight="1">
      <c r="A55" s="77" t="s">
        <v>92</v>
      </c>
      <c r="B55" s="78" t="s">
        <v>93</v>
      </c>
      <c r="C55" s="79">
        <v>707.510342564883</v>
      </c>
      <c r="D55" s="80"/>
      <c r="E55" s="73">
        <v>886.454</v>
      </c>
      <c r="F55" s="73">
        <v>876.35</v>
      </c>
      <c r="G55" s="81">
        <v>0.6186041999999999</v>
      </c>
      <c r="H55" s="82">
        <f t="shared" si="0"/>
        <v>10.103999999999928</v>
      </c>
    </row>
    <row r="56" spans="1:8" ht="15">
      <c r="A56" s="77" t="s">
        <v>94</v>
      </c>
      <c r="B56" s="78" t="s">
        <v>95</v>
      </c>
      <c r="C56" s="79">
        <v>535.0911325603976</v>
      </c>
      <c r="D56" s="80"/>
      <c r="E56" s="73">
        <v>484.085</v>
      </c>
      <c r="F56" s="73">
        <v>478.43</v>
      </c>
      <c r="G56" s="81">
        <v>0.3682884</v>
      </c>
      <c r="H56" s="82">
        <f t="shared" si="0"/>
        <v>5.654999999999973</v>
      </c>
    </row>
    <row r="57" spans="1:8" ht="15">
      <c r="A57" s="77" t="s">
        <v>96</v>
      </c>
      <c r="B57" s="78" t="s">
        <v>97</v>
      </c>
      <c r="C57" s="79">
        <v>13.60497561324778</v>
      </c>
      <c r="D57" s="80"/>
      <c r="E57" s="73">
        <v>19.541</v>
      </c>
      <c r="F57" s="73">
        <v>19.32</v>
      </c>
      <c r="G57" s="81">
        <v>0.014370600000000002</v>
      </c>
      <c r="H57" s="82">
        <f t="shared" si="0"/>
        <v>0.22100000000000009</v>
      </c>
    </row>
    <row r="58" spans="1:8" s="30" customFormat="1" ht="15.75">
      <c r="A58" s="77" t="s">
        <v>98</v>
      </c>
      <c r="B58" s="78" t="s">
        <v>99</v>
      </c>
      <c r="C58" s="79">
        <v>329.5225912900666</v>
      </c>
      <c r="D58" s="80"/>
      <c r="E58" s="73">
        <v>319.763</v>
      </c>
      <c r="F58" s="73">
        <v>315.97</v>
      </c>
      <c r="G58" s="81">
        <v>0.23861880000000008</v>
      </c>
      <c r="H58" s="82">
        <f t="shared" si="0"/>
        <v>3.7929999999999495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3.3003261234981456</v>
      </c>
      <c r="D61" s="80"/>
      <c r="E61" s="73">
        <v>3.552</v>
      </c>
      <c r="F61" s="73">
        <v>3.58</v>
      </c>
      <c r="G61" s="81">
        <v>0.0023394</v>
      </c>
      <c r="H61" s="82">
        <f t="shared" si="0"/>
        <v>-0.028000000000000025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642.8859615999999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4753.044426640752</v>
      </c>
      <c r="D64" s="98"/>
      <c r="E64" s="99">
        <v>4671.94106</v>
      </c>
      <c r="F64" s="99">
        <v>4550.78959</v>
      </c>
      <c r="G64" s="99">
        <v>2.0539932</v>
      </c>
      <c r="H64" s="100">
        <f>E64-F64</f>
        <v>121.15146999999979</v>
      </c>
    </row>
    <row r="65" spans="1:8" ht="15">
      <c r="A65" s="101"/>
      <c r="B65" s="102" t="s">
        <v>113</v>
      </c>
      <c r="C65" s="103">
        <v>2701.645695664274</v>
      </c>
      <c r="D65" s="103"/>
      <c r="E65" s="73">
        <v>2746.778</v>
      </c>
      <c r="F65" s="73">
        <v>2673.435</v>
      </c>
      <c r="G65" s="81">
        <v>2.0539932</v>
      </c>
      <c r="H65" s="104">
        <f>E65-F65</f>
        <v>73.34299999999985</v>
      </c>
    </row>
    <row r="66" spans="1:8" ht="15">
      <c r="A66" s="101"/>
      <c r="B66" s="102" t="s">
        <v>114</v>
      </c>
      <c r="C66" s="103">
        <v>517.6291488299579</v>
      </c>
      <c r="D66" s="103"/>
      <c r="E66" s="73">
        <v>485.77612</v>
      </c>
      <c r="F66" s="73">
        <v>490.939</v>
      </c>
      <c r="G66" s="81"/>
      <c r="H66" s="104">
        <f>E66-F66</f>
        <v>-5.16288000000003</v>
      </c>
    </row>
    <row r="67" spans="1:8" ht="15">
      <c r="A67" s="101"/>
      <c r="B67" s="102" t="s">
        <v>115</v>
      </c>
      <c r="C67" s="103">
        <v>454.8259038988085</v>
      </c>
      <c r="D67" s="103"/>
      <c r="E67" s="73">
        <v>426.83756</v>
      </c>
      <c r="F67" s="73">
        <v>431.678</v>
      </c>
      <c r="G67" s="81"/>
      <c r="H67" s="104">
        <f>E67-F67</f>
        <v>-4.840440000000001</v>
      </c>
    </row>
    <row r="68" spans="1:8" ht="15">
      <c r="A68" s="101"/>
      <c r="B68" s="102" t="s">
        <v>116</v>
      </c>
      <c r="C68" s="103">
        <v>609.8011190761638</v>
      </c>
      <c r="D68" s="103"/>
      <c r="E68" s="73">
        <v>572.27616</v>
      </c>
      <c r="F68" s="73">
        <v>586.537</v>
      </c>
      <c r="G68" s="81"/>
      <c r="H68" s="104">
        <f>E68-F68</f>
        <v>-14.26084000000003</v>
      </c>
    </row>
    <row r="69" spans="1:8" ht="15.75" thickBot="1">
      <c r="A69" s="105"/>
      <c r="B69" s="106" t="s">
        <v>117</v>
      </c>
      <c r="C69" s="107">
        <v>469.14255917154753</v>
      </c>
      <c r="D69" s="107"/>
      <c r="E69" s="87">
        <v>440.27322</v>
      </c>
      <c r="F69" s="87">
        <v>368.20059000000003</v>
      </c>
      <c r="G69" s="88"/>
      <c r="H69" s="108">
        <f>(23293.49+72105.39)/1000</f>
        <v>95.39888</v>
      </c>
    </row>
    <row r="70" spans="1:8" ht="19.5" thickBot="1" thickTop="1">
      <c r="A70" s="109" t="s">
        <v>118</v>
      </c>
      <c r="B70" s="110" t="s">
        <v>119</v>
      </c>
      <c r="C70" s="111">
        <v>7992.843941240964</v>
      </c>
      <c r="D70" s="111"/>
      <c r="E70" s="112">
        <v>8268.387060000001</v>
      </c>
      <c r="F70" s="112">
        <v>8129.1965900000005</v>
      </c>
      <c r="G70" s="112">
        <v>4.6901627999999995</v>
      </c>
      <c r="H70" s="113">
        <f>H25+H64</f>
        <v>139.19046999999955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235.53222000000002</v>
      </c>
      <c r="F71" s="112">
        <v>235.44444000000001</v>
      </c>
      <c r="G71" s="112">
        <v>0</v>
      </c>
      <c r="H71" s="113">
        <f>E71-F71</f>
        <v>0.0877800000000093</v>
      </c>
    </row>
    <row r="72" spans="1:8" ht="15.75" thickTop="1">
      <c r="A72" s="115"/>
      <c r="B72" s="116" t="s">
        <v>122</v>
      </c>
      <c r="C72" s="103"/>
      <c r="D72" s="103"/>
      <c r="E72" s="81">
        <v>232.18422</v>
      </c>
      <c r="F72" s="81">
        <v>232.09644</v>
      </c>
      <c r="G72" s="117"/>
      <c r="H72" s="104">
        <f>E72-F72</f>
        <v>0.0877800000000093</v>
      </c>
    </row>
    <row r="73" spans="1:8" ht="15">
      <c r="A73" s="115"/>
      <c r="B73" s="116" t="s">
        <v>123</v>
      </c>
      <c r="C73" s="118"/>
      <c r="D73" s="118"/>
      <c r="E73" s="81">
        <v>3.348</v>
      </c>
      <c r="F73" s="81">
        <v>3.348</v>
      </c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812.74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426.94592</v>
      </c>
      <c r="D75" s="114"/>
      <c r="E75" s="112">
        <v>426.94592</v>
      </c>
      <c r="F75" s="112">
        <v>328.66454</v>
      </c>
      <c r="G75" s="112"/>
      <c r="H75" s="113">
        <f>E75-F75</f>
        <v>98.28138000000001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3291.4182499999997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1496.8089999999997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1716.3514699999998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78.25778000000001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>
    <tabColor rgb="FF92D050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8515625" style="140" customWidth="1"/>
    <col min="3" max="3" width="15.00390625" style="140" customWidth="1"/>
    <col min="4" max="4" width="10.140625" style="140" customWidth="1"/>
    <col min="5" max="5" width="20.140625" style="140" customWidth="1"/>
    <col min="6" max="6" width="25.28125" style="140" customWidth="1"/>
    <col min="7" max="7" width="22.421875" style="140" customWidth="1"/>
    <col min="8" max="8" width="0.289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15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1493.79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931.2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537.84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24.75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3935.56252891572</v>
      </c>
      <c r="D25" s="57">
        <v>0</v>
      </c>
      <c r="E25" s="58">
        <v>3854.648</v>
      </c>
      <c r="F25" s="58">
        <v>3867.04</v>
      </c>
      <c r="G25" s="157">
        <v>22.3735152</v>
      </c>
      <c r="H25" s="59">
        <f>E25-F25</f>
        <v>-12.391999999999825</v>
      </c>
    </row>
    <row r="26" spans="1:8" s="143" customFormat="1" ht="18">
      <c r="A26" s="60" t="s">
        <v>36</v>
      </c>
      <c r="B26" s="61" t="s">
        <v>37</v>
      </c>
      <c r="C26" s="62">
        <v>914.88919</v>
      </c>
      <c r="D26" s="62"/>
      <c r="E26" s="63">
        <v>660.534</v>
      </c>
      <c r="F26" s="63">
        <v>661.26</v>
      </c>
      <c r="G26" s="63">
        <v>3.8833488000000003</v>
      </c>
      <c r="H26" s="64">
        <f>E26-F26</f>
        <v>-0.7259999999999991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3020.6733389157203</v>
      </c>
      <c r="D50" s="62">
        <v>0</v>
      </c>
      <c r="E50" s="63">
        <v>3194.114</v>
      </c>
      <c r="F50" s="63">
        <v>3205.78</v>
      </c>
      <c r="G50" s="63">
        <v>18.4901664</v>
      </c>
      <c r="H50" s="64">
        <f aca="true" t="shared" si="0" ref="H50:H62">E50-F50</f>
        <v>-11.666000000000167</v>
      </c>
    </row>
    <row r="51" spans="1:8" ht="15">
      <c r="A51" s="77" t="s">
        <v>84</v>
      </c>
      <c r="B51" s="78" t="s">
        <v>85</v>
      </c>
      <c r="C51" s="79">
        <v>425.55438263512394</v>
      </c>
      <c r="D51" s="80"/>
      <c r="E51" s="73">
        <v>218.269</v>
      </c>
      <c r="F51" s="73">
        <v>218.49</v>
      </c>
      <c r="G51" s="81">
        <v>1.2461664</v>
      </c>
      <c r="H51" s="82">
        <f t="shared" si="0"/>
        <v>-0.22100000000000364</v>
      </c>
    </row>
    <row r="52" spans="1:8" s="158" customFormat="1" ht="15">
      <c r="A52" s="77" t="s">
        <v>86</v>
      </c>
      <c r="B52" s="78" t="s">
        <v>87</v>
      </c>
      <c r="C52" s="79">
        <v>465.38986150359574</v>
      </c>
      <c r="D52" s="80"/>
      <c r="E52" s="73">
        <v>591.871</v>
      </c>
      <c r="F52" s="73">
        <v>595.52</v>
      </c>
      <c r="G52" s="81">
        <v>3.5361696</v>
      </c>
      <c r="H52" s="82">
        <f t="shared" si="0"/>
        <v>-3.649000000000001</v>
      </c>
    </row>
    <row r="53" spans="1:8" s="159" customFormat="1" ht="16.5">
      <c r="A53" s="77" t="s">
        <v>88</v>
      </c>
      <c r="B53" s="78" t="s">
        <v>89</v>
      </c>
      <c r="C53" s="79">
        <v>93.07691292613966</v>
      </c>
      <c r="D53" s="80"/>
      <c r="E53" s="73">
        <v>91.068</v>
      </c>
      <c r="F53" s="73">
        <v>91.26</v>
      </c>
      <c r="G53" s="81">
        <v>0.5265168</v>
      </c>
      <c r="H53" s="82">
        <f t="shared" si="0"/>
        <v>-0.19200000000000728</v>
      </c>
    </row>
    <row r="54" spans="1:8" s="160" customFormat="1" ht="15">
      <c r="A54" s="77" t="s">
        <v>90</v>
      </c>
      <c r="B54" s="78" t="s">
        <v>91</v>
      </c>
      <c r="C54" s="79">
        <v>305.7961119210685</v>
      </c>
      <c r="D54" s="80"/>
      <c r="E54" s="73">
        <v>292.726</v>
      </c>
      <c r="F54" s="73">
        <v>293.51</v>
      </c>
      <c r="G54" s="81">
        <v>1.6462272</v>
      </c>
      <c r="H54" s="82">
        <f t="shared" si="0"/>
        <v>-0.7839999999999918</v>
      </c>
    </row>
    <row r="55" spans="1:8" ht="31.5" customHeight="1">
      <c r="A55" s="77" t="s">
        <v>92</v>
      </c>
      <c r="B55" s="78" t="s">
        <v>93</v>
      </c>
      <c r="C55" s="79">
        <v>1158.2573254466993</v>
      </c>
      <c r="D55" s="80"/>
      <c r="E55" s="73">
        <v>1451.204</v>
      </c>
      <c r="F55" s="73">
        <v>1457.1</v>
      </c>
      <c r="G55" s="81">
        <v>8.3024112</v>
      </c>
      <c r="H55" s="82">
        <f t="shared" si="0"/>
        <v>-5.895999999999958</v>
      </c>
    </row>
    <row r="56" spans="1:8" ht="15">
      <c r="A56" s="77" t="s">
        <v>94</v>
      </c>
      <c r="B56" s="78" t="s">
        <v>95</v>
      </c>
      <c r="C56" s="79">
        <v>341.9317284443192</v>
      </c>
      <c r="D56" s="80"/>
      <c r="E56" s="73">
        <v>309.338</v>
      </c>
      <c r="F56" s="73">
        <v>309.75</v>
      </c>
      <c r="G56" s="81">
        <v>1.8554544</v>
      </c>
      <c r="H56" s="82">
        <f t="shared" si="0"/>
        <v>-0.4119999999999777</v>
      </c>
    </row>
    <row r="57" spans="1:8" ht="17.25" customHeight="1">
      <c r="A57" s="77" t="s">
        <v>96</v>
      </c>
      <c r="B57" s="78" t="s">
        <v>97</v>
      </c>
      <c r="C57" s="79">
        <v>33.26434291232549</v>
      </c>
      <c r="D57" s="80"/>
      <c r="E57" s="73">
        <v>47.778</v>
      </c>
      <c r="F57" s="73">
        <v>48.34</v>
      </c>
      <c r="G57" s="81">
        <v>0.2805024</v>
      </c>
      <c r="H57" s="82">
        <f t="shared" si="0"/>
        <v>-0.5620000000000047</v>
      </c>
    </row>
    <row r="58" spans="1:8" ht="15">
      <c r="A58" s="77" t="s">
        <v>98</v>
      </c>
      <c r="B58" s="78" t="s">
        <v>99</v>
      </c>
      <c r="C58" s="79">
        <v>194.5325415398816</v>
      </c>
      <c r="D58" s="80"/>
      <c r="E58" s="73">
        <v>188.771</v>
      </c>
      <c r="F58" s="73">
        <v>188.71</v>
      </c>
      <c r="G58" s="81">
        <v>1.0806239999999998</v>
      </c>
      <c r="H58" s="82">
        <f t="shared" si="0"/>
        <v>0.06099999999997863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2.87013158656694</v>
      </c>
      <c r="D61" s="80"/>
      <c r="E61" s="73">
        <v>3.089</v>
      </c>
      <c r="F61" s="73">
        <v>3.1</v>
      </c>
      <c r="G61" s="81">
        <v>0.016094400000000002</v>
      </c>
      <c r="H61" s="82">
        <f t="shared" si="0"/>
        <v>-0.01100000000000012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-249.74584119999997</v>
      </c>
      <c r="D63" s="93"/>
      <c r="E63" s="94" t="s">
        <v>110</v>
      </c>
      <c r="F63" s="94"/>
      <c r="G63" s="163">
        <v>1.917594927422419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4457.985609348258</v>
      </c>
      <c r="D64" s="111"/>
      <c r="E64" s="167">
        <v>4261.97116</v>
      </c>
      <c r="F64" s="167">
        <v>4067.8425899999997</v>
      </c>
      <c r="G64" s="167">
        <v>14.1308832</v>
      </c>
      <c r="H64" s="168">
        <f>E64-F64</f>
        <v>194.1285700000003</v>
      </c>
    </row>
    <row r="65" spans="1:8" ht="15.75" thickTop="1">
      <c r="A65" s="169"/>
      <c r="B65" s="170" t="s">
        <v>113</v>
      </c>
      <c r="C65" s="171">
        <v>2474.619819951994</v>
      </c>
      <c r="D65" s="171"/>
      <c r="E65" s="172">
        <v>2400.65454</v>
      </c>
      <c r="F65" s="172">
        <v>2351.845</v>
      </c>
      <c r="G65" s="163">
        <v>14.1308832</v>
      </c>
      <c r="H65" s="173">
        <f>E65-F65</f>
        <v>48.8095400000002</v>
      </c>
    </row>
    <row r="66" spans="1:8" ht="15">
      <c r="A66" s="101"/>
      <c r="B66" s="116" t="s">
        <v>114</v>
      </c>
      <c r="C66" s="103">
        <v>523.0873679252433</v>
      </c>
      <c r="D66" s="103"/>
      <c r="E66" s="73">
        <v>490.89846</v>
      </c>
      <c r="F66" s="73">
        <v>475.9</v>
      </c>
      <c r="G66" s="81"/>
      <c r="H66" s="104">
        <f>E66-F66</f>
        <v>14.998460000000023</v>
      </c>
    </row>
    <row r="67" spans="1:8" ht="15">
      <c r="A67" s="101"/>
      <c r="B67" s="116" t="s">
        <v>115</v>
      </c>
      <c r="C67" s="103">
        <v>434.2204485778989</v>
      </c>
      <c r="D67" s="103"/>
      <c r="E67" s="73">
        <v>407.50009</v>
      </c>
      <c r="F67" s="73">
        <v>399.16</v>
      </c>
      <c r="G67" s="81"/>
      <c r="H67" s="104">
        <f>E67-F67</f>
        <v>8.340089999999975</v>
      </c>
    </row>
    <row r="68" spans="1:8" ht="15">
      <c r="A68" s="101"/>
      <c r="B68" s="116" t="s">
        <v>116</v>
      </c>
      <c r="C68" s="103">
        <v>592.50485972693</v>
      </c>
      <c r="D68" s="103"/>
      <c r="E68" s="73">
        <v>556.04425</v>
      </c>
      <c r="F68" s="73">
        <v>543.622</v>
      </c>
      <c r="G68" s="81"/>
      <c r="H68" s="104">
        <f>E68-F68</f>
        <v>12.422250000000076</v>
      </c>
    </row>
    <row r="69" spans="1:8" ht="15.75" thickBot="1">
      <c r="A69" s="105"/>
      <c r="B69" s="174" t="s">
        <v>117</v>
      </c>
      <c r="C69" s="107">
        <v>433.5531131661916</v>
      </c>
      <c r="D69" s="107"/>
      <c r="E69" s="87">
        <v>406.87381999999997</v>
      </c>
      <c r="F69" s="87">
        <v>297.31559</v>
      </c>
      <c r="G69" s="88"/>
      <c r="H69" s="108">
        <f>66.78894+7.334444</f>
        <v>74.123384</v>
      </c>
    </row>
    <row r="70" spans="1:8" ht="20.25" customHeight="1" thickBot="1" thickTop="1">
      <c r="A70" s="175" t="s">
        <v>118</v>
      </c>
      <c r="B70" s="166" t="s">
        <v>119</v>
      </c>
      <c r="C70" s="111">
        <v>8393.548138263977</v>
      </c>
      <c r="D70" s="111"/>
      <c r="E70" s="166">
        <v>8116.61916</v>
      </c>
      <c r="F70" s="166">
        <v>7934.882589999999</v>
      </c>
      <c r="G70" s="166">
        <v>36.5043984</v>
      </c>
      <c r="H70" s="168">
        <f>H25+H64</f>
        <v>181.73657000000048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206.0922</v>
      </c>
      <c r="F71" s="166">
        <v>202.85797</v>
      </c>
      <c r="G71" s="166">
        <v>0</v>
      </c>
      <c r="H71" s="168">
        <f>E71-F71</f>
        <v>3.2342299999999966</v>
      </c>
    </row>
    <row r="72" spans="1:8" ht="15.75" thickTop="1">
      <c r="A72" s="176"/>
      <c r="B72" s="170" t="s">
        <v>122</v>
      </c>
      <c r="C72" s="177"/>
      <c r="D72" s="177"/>
      <c r="E72" s="117">
        <v>205.5162</v>
      </c>
      <c r="F72" s="117">
        <v>201.89797</v>
      </c>
      <c r="G72" s="117"/>
      <c r="H72" s="104">
        <f>E72-F72</f>
        <v>3.618230000000011</v>
      </c>
    </row>
    <row r="73" spans="1:8" ht="15">
      <c r="A73" s="115"/>
      <c r="B73" s="116" t="s">
        <v>123</v>
      </c>
      <c r="C73" s="118"/>
      <c r="D73" s="118"/>
      <c r="E73" s="119">
        <v>0.576</v>
      </c>
      <c r="F73" s="119">
        <v>0.96</v>
      </c>
      <c r="G73" s="119"/>
      <c r="H73" s="179">
        <f>E73-F73</f>
        <v>-0.384</v>
      </c>
    </row>
    <row r="74" spans="1:8" ht="29.25" thickBot="1">
      <c r="A74" s="120"/>
      <c r="B74" s="121" t="s">
        <v>124</v>
      </c>
      <c r="C74" s="122"/>
      <c r="D74" s="123"/>
      <c r="E74" s="124">
        <v>775.859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9.09504</v>
      </c>
      <c r="D75" s="114"/>
      <c r="E75" s="180">
        <v>9.09504</v>
      </c>
      <c r="F75" s="180">
        <v>9.09504</v>
      </c>
      <c r="G75" s="180"/>
      <c r="H75" s="168">
        <f>E75-F75</f>
        <v>0</v>
      </c>
    </row>
    <row r="76" spans="1:8" ht="24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1679.1448000000005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918.8080000000002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731.9685700000003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28.36823000000001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282" customWidth="1"/>
    <col min="2" max="2" width="54.140625" style="249" customWidth="1"/>
    <col min="3" max="3" width="15.00390625" style="249" customWidth="1"/>
    <col min="4" max="4" width="8.8515625" style="249" customWidth="1"/>
    <col min="5" max="5" width="17.57421875" style="249" customWidth="1"/>
    <col min="6" max="6" width="27.421875" style="249" customWidth="1"/>
    <col min="7" max="7" width="22.28125" style="249" customWidth="1"/>
    <col min="8" max="8" width="23.00390625" style="249" hidden="1" customWidth="1"/>
    <col min="9" max="16384" width="9.140625" style="249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250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17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251" t="s">
        <v>138</v>
      </c>
      <c r="B14" s="251"/>
      <c r="C14" s="251"/>
      <c r="D14" s="251"/>
      <c r="E14" s="251"/>
      <c r="F14" s="251"/>
      <c r="G14" s="251"/>
      <c r="H14" s="251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252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254" customFormat="1" ht="18">
      <c r="A17" s="31" t="s">
        <v>16</v>
      </c>
      <c r="B17" s="32" t="s">
        <v>148</v>
      </c>
      <c r="C17" s="31" t="s">
        <v>3</v>
      </c>
      <c r="D17" s="31">
        <v>17</v>
      </c>
      <c r="E17" s="31" t="s">
        <v>18</v>
      </c>
      <c r="F17" s="31"/>
      <c r="G17" s="31"/>
      <c r="H17" s="253"/>
    </row>
    <row r="18" spans="1:7" s="250" customFormat="1" ht="10.5" customHeight="1">
      <c r="A18" s="35"/>
      <c r="B18" s="36"/>
      <c r="C18" s="8"/>
      <c r="D18" s="8"/>
      <c r="E18" s="8"/>
      <c r="F18" s="8"/>
      <c r="G18" s="8"/>
    </row>
    <row r="19" spans="1:7" s="250" customFormat="1" ht="18">
      <c r="A19" s="35"/>
      <c r="B19" s="37" t="s">
        <v>19</v>
      </c>
      <c r="C19" s="8"/>
      <c r="D19" s="8"/>
      <c r="E19" s="38">
        <f>E20+E21+E22</f>
        <v>3931.05</v>
      </c>
      <c r="F19" s="39" t="s">
        <v>20</v>
      </c>
      <c r="G19" s="8"/>
    </row>
    <row r="20" spans="1:7" s="250" customFormat="1" ht="18">
      <c r="A20" s="35"/>
      <c r="B20" s="8" t="s">
        <v>21</v>
      </c>
      <c r="C20" s="8"/>
      <c r="D20" s="8"/>
      <c r="E20" s="146">
        <v>2086.79</v>
      </c>
      <c r="F20" s="8" t="s">
        <v>20</v>
      </c>
      <c r="G20" s="8"/>
    </row>
    <row r="21" spans="1:7" s="250" customFormat="1" ht="18">
      <c r="A21" s="41"/>
      <c r="B21" s="8" t="s">
        <v>22</v>
      </c>
      <c r="C21" s="8"/>
      <c r="D21" s="8"/>
      <c r="E21" s="146">
        <v>1778.67</v>
      </c>
      <c r="F21" s="8" t="s">
        <v>20</v>
      </c>
      <c r="G21" s="8"/>
    </row>
    <row r="22" spans="1:7" s="252" customFormat="1" ht="18">
      <c r="A22" s="42"/>
      <c r="B22" s="8" t="s">
        <v>23</v>
      </c>
      <c r="C22" s="43"/>
      <c r="D22" s="43"/>
      <c r="E22" s="146">
        <v>65.59</v>
      </c>
      <c r="F22" s="8" t="s">
        <v>20</v>
      </c>
      <c r="G22" s="30"/>
    </row>
    <row r="23" spans="1:8" s="259" customFormat="1" ht="79.5" customHeight="1">
      <c r="A23" s="147" t="s">
        <v>24</v>
      </c>
      <c r="B23" s="255" t="s">
        <v>25</v>
      </c>
      <c r="C23" s="45" t="s">
        <v>140</v>
      </c>
      <c r="D23" s="46"/>
      <c r="E23" s="256" t="s">
        <v>27</v>
      </c>
      <c r="F23" s="257" t="s">
        <v>141</v>
      </c>
      <c r="G23" s="258"/>
      <c r="H23" s="256" t="s">
        <v>29</v>
      </c>
    </row>
    <row r="24" spans="1:8" s="252" customFormat="1" ht="31.5" customHeight="1">
      <c r="A24" s="150"/>
      <c r="B24" s="260"/>
      <c r="C24" s="261" t="s">
        <v>30</v>
      </c>
      <c r="D24" s="262"/>
      <c r="E24" s="263" t="s">
        <v>31</v>
      </c>
      <c r="F24" s="264" t="s">
        <v>32</v>
      </c>
      <c r="G24" s="265" t="s">
        <v>33</v>
      </c>
      <c r="H24" s="263" t="s">
        <v>30</v>
      </c>
    </row>
    <row r="25" spans="1:8" s="252" customFormat="1" ht="21.75" customHeight="1">
      <c r="A25" s="55" t="s">
        <v>34</v>
      </c>
      <c r="B25" s="56" t="s">
        <v>35</v>
      </c>
      <c r="C25" s="57">
        <v>7754.298484453372</v>
      </c>
      <c r="D25" s="57">
        <v>0</v>
      </c>
      <c r="E25" s="58">
        <v>8138.8240000000005</v>
      </c>
      <c r="F25" s="58">
        <v>7973.050000000001</v>
      </c>
      <c r="G25" s="157">
        <v>49.394555999999994</v>
      </c>
      <c r="H25" s="59">
        <f>E25-F25</f>
        <v>165.77399999999943</v>
      </c>
    </row>
    <row r="26" spans="1:8" s="252" customFormat="1" ht="18">
      <c r="A26" s="60" t="s">
        <v>36</v>
      </c>
      <c r="B26" s="61" t="s">
        <v>37</v>
      </c>
      <c r="C26" s="62">
        <v>1382.16</v>
      </c>
      <c r="D26" s="62"/>
      <c r="E26" s="63">
        <v>1372.12</v>
      </c>
      <c r="F26" s="63">
        <v>1345.85</v>
      </c>
      <c r="G26" s="63">
        <v>8.573364</v>
      </c>
      <c r="H26" s="64">
        <f>E26-F26</f>
        <v>26.269999999999982</v>
      </c>
    </row>
    <row r="27" spans="1:8" s="252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252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252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252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252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252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252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252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252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252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252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252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252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252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252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252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252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252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252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252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252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252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252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252" customFormat="1" ht="18">
      <c r="A50" s="75" t="s">
        <v>82</v>
      </c>
      <c r="B50" s="76" t="s">
        <v>83</v>
      </c>
      <c r="C50" s="62">
        <v>6372.138484453372</v>
      </c>
      <c r="D50" s="62">
        <v>0</v>
      </c>
      <c r="E50" s="63">
        <v>6766.704000000001</v>
      </c>
      <c r="F50" s="63">
        <v>6627.200000000001</v>
      </c>
      <c r="G50" s="63">
        <v>40.821192</v>
      </c>
      <c r="H50" s="64">
        <f aca="true" t="shared" si="0" ref="H50:H62">E50-F50</f>
        <v>139.5039999999999</v>
      </c>
    </row>
    <row r="51" spans="1:8" ht="15">
      <c r="A51" s="77" t="s">
        <v>84</v>
      </c>
      <c r="B51" s="78" t="s">
        <v>85</v>
      </c>
      <c r="C51" s="79">
        <v>884.6295882027105</v>
      </c>
      <c r="D51" s="80"/>
      <c r="E51" s="73">
        <v>453.731</v>
      </c>
      <c r="F51" s="73">
        <v>444.1</v>
      </c>
      <c r="G51" s="81">
        <v>2.7511919999999996</v>
      </c>
      <c r="H51" s="82">
        <f t="shared" si="0"/>
        <v>9.630999999999972</v>
      </c>
    </row>
    <row r="52" spans="1:8" s="266" customFormat="1" ht="15">
      <c r="A52" s="77" t="s">
        <v>86</v>
      </c>
      <c r="B52" s="78" t="s">
        <v>87</v>
      </c>
      <c r="C52" s="79">
        <v>972.8941043202353</v>
      </c>
      <c r="D52" s="80"/>
      <c r="E52" s="73">
        <v>1237.302</v>
      </c>
      <c r="F52" s="73">
        <v>1211.9</v>
      </c>
      <c r="G52" s="81">
        <v>7.806888</v>
      </c>
      <c r="H52" s="82">
        <f t="shared" si="0"/>
        <v>25.401999999999816</v>
      </c>
    </row>
    <row r="53" spans="1:8" s="267" customFormat="1" ht="16.5">
      <c r="A53" s="77" t="s">
        <v>88</v>
      </c>
      <c r="B53" s="78" t="s">
        <v>89</v>
      </c>
      <c r="C53" s="79">
        <v>194.04719123340746</v>
      </c>
      <c r="D53" s="80"/>
      <c r="E53" s="73">
        <v>189.859</v>
      </c>
      <c r="F53" s="73">
        <v>186.57</v>
      </c>
      <c r="G53" s="81">
        <v>1.162404</v>
      </c>
      <c r="H53" s="82">
        <f t="shared" si="0"/>
        <v>3.2890000000000157</v>
      </c>
    </row>
    <row r="54" spans="1:8" s="268" customFormat="1" ht="15">
      <c r="A54" s="77" t="s">
        <v>90</v>
      </c>
      <c r="B54" s="78" t="s">
        <v>91</v>
      </c>
      <c r="C54" s="79">
        <v>637.029442692796</v>
      </c>
      <c r="D54" s="80"/>
      <c r="E54" s="73">
        <v>609.802</v>
      </c>
      <c r="F54" s="73">
        <v>597.18</v>
      </c>
      <c r="G54" s="81">
        <v>3.634416</v>
      </c>
      <c r="H54" s="82">
        <f t="shared" si="0"/>
        <v>12.622000000000071</v>
      </c>
    </row>
    <row r="55" spans="1:8" ht="30" customHeight="1">
      <c r="A55" s="77" t="s">
        <v>92</v>
      </c>
      <c r="B55" s="78" t="s">
        <v>93</v>
      </c>
      <c r="C55" s="79">
        <v>2416.829100278939</v>
      </c>
      <c r="D55" s="80"/>
      <c r="E55" s="73">
        <v>3028.094</v>
      </c>
      <c r="F55" s="73">
        <v>2966.77</v>
      </c>
      <c r="G55" s="81">
        <v>18.329435999999998</v>
      </c>
      <c r="H55" s="82">
        <f t="shared" si="0"/>
        <v>61.32400000000007</v>
      </c>
    </row>
    <row r="56" spans="1:8" ht="15">
      <c r="A56" s="77" t="s">
        <v>94</v>
      </c>
      <c r="B56" s="78" t="s">
        <v>95</v>
      </c>
      <c r="C56" s="79">
        <v>711.4025470827361</v>
      </c>
      <c r="D56" s="80"/>
      <c r="E56" s="73">
        <v>643.59</v>
      </c>
      <c r="F56" s="73">
        <v>630.67</v>
      </c>
      <c r="G56" s="81">
        <v>4.096331999999999</v>
      </c>
      <c r="H56" s="82">
        <f t="shared" si="0"/>
        <v>12.920000000000073</v>
      </c>
    </row>
    <row r="57" spans="1:8" ht="17.25" customHeight="1">
      <c r="A57" s="77" t="s">
        <v>96</v>
      </c>
      <c r="B57" s="78" t="s">
        <v>97</v>
      </c>
      <c r="C57" s="79">
        <v>69.45284004273812</v>
      </c>
      <c r="D57" s="80"/>
      <c r="E57" s="73">
        <v>99.756</v>
      </c>
      <c r="F57" s="73">
        <v>98.87</v>
      </c>
      <c r="G57" s="81">
        <v>0.6192719999999999</v>
      </c>
      <c r="H57" s="82">
        <f t="shared" si="0"/>
        <v>0.8859999999999957</v>
      </c>
    </row>
    <row r="58" spans="1:8" ht="15">
      <c r="A58" s="77" t="s">
        <v>98</v>
      </c>
      <c r="B58" s="78" t="s">
        <v>99</v>
      </c>
      <c r="C58" s="79">
        <v>404.572368018086</v>
      </c>
      <c r="D58" s="80"/>
      <c r="E58" s="73">
        <v>392.59</v>
      </c>
      <c r="F58" s="73">
        <v>384.3</v>
      </c>
      <c r="G58" s="81">
        <v>2.385719999999999</v>
      </c>
      <c r="H58" s="82">
        <f t="shared" si="0"/>
        <v>8.289999999999964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252" customFormat="1" ht="28.5">
      <c r="A61" s="77" t="s">
        <v>104</v>
      </c>
      <c r="B61" s="78" t="s">
        <v>105</v>
      </c>
      <c r="C61" s="79">
        <v>5.983699390576593</v>
      </c>
      <c r="D61" s="80"/>
      <c r="E61" s="73">
        <v>6.44</v>
      </c>
      <c r="F61" s="73">
        <v>6.38</v>
      </c>
      <c r="G61" s="81">
        <v>0.035531999999999994</v>
      </c>
      <c r="H61" s="82">
        <f t="shared" si="0"/>
        <v>0.0600000000000005</v>
      </c>
    </row>
    <row r="62" spans="1:8" s="252" customFormat="1" ht="15.75" thickBot="1">
      <c r="A62" s="83" t="s">
        <v>106</v>
      </c>
      <c r="B62" s="84" t="s">
        <v>107</v>
      </c>
      <c r="C62" s="85">
        <v>75.29760319114634</v>
      </c>
      <c r="D62" s="86"/>
      <c r="E62" s="87">
        <v>105.54</v>
      </c>
      <c r="F62" s="87">
        <v>100.46</v>
      </c>
      <c r="G62" s="88">
        <v>0</v>
      </c>
      <c r="H62" s="89">
        <f t="shared" si="0"/>
        <v>5.0800000000000125</v>
      </c>
    </row>
    <row r="63" spans="1:8" s="252" customFormat="1" ht="46.5" hidden="1" thickBot="1" thickTop="1">
      <c r="A63" s="161" t="s">
        <v>108</v>
      </c>
      <c r="B63" s="162" t="s">
        <v>109</v>
      </c>
      <c r="C63" s="92">
        <v>-27.73663600000009</v>
      </c>
      <c r="D63" s="93"/>
      <c r="E63" s="94" t="s">
        <v>110</v>
      </c>
      <c r="F63" s="94"/>
      <c r="G63" s="163">
        <v>4.233521160227991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9548.413285243323</v>
      </c>
      <c r="D64" s="111"/>
      <c r="E64" s="167">
        <v>9113.1896076</v>
      </c>
      <c r="F64" s="167">
        <v>8813.61133</v>
      </c>
      <c r="G64" s="167">
        <v>31.197096</v>
      </c>
      <c r="H64" s="168">
        <f>E64-F64</f>
        <v>299.57827759999964</v>
      </c>
    </row>
    <row r="65" spans="1:8" ht="15.75" thickTop="1">
      <c r="A65" s="169"/>
      <c r="B65" s="170" t="s">
        <v>113</v>
      </c>
      <c r="C65" s="269">
        <v>5155.111690258717</v>
      </c>
      <c r="D65" s="269"/>
      <c r="E65" s="172">
        <v>4990.23593</v>
      </c>
      <c r="F65" s="172">
        <v>4815.377</v>
      </c>
      <c r="G65" s="270">
        <v>31.197096</v>
      </c>
      <c r="H65" s="271">
        <f>E65-F65</f>
        <v>174.85892999999942</v>
      </c>
    </row>
    <row r="66" spans="1:8" ht="15">
      <c r="A66" s="101"/>
      <c r="B66" s="116" t="s">
        <v>114</v>
      </c>
      <c r="C66" s="103">
        <v>1132.5208755180454</v>
      </c>
      <c r="D66" s="103"/>
      <c r="E66" s="73">
        <v>1062.82963</v>
      </c>
      <c r="F66" s="73">
        <v>1089.776</v>
      </c>
      <c r="G66" s="272"/>
      <c r="H66" s="273">
        <f>E66-F66</f>
        <v>-26.946370000000115</v>
      </c>
    </row>
    <row r="67" spans="1:8" ht="15">
      <c r="A67" s="101"/>
      <c r="B67" s="116" t="s">
        <v>115</v>
      </c>
      <c r="C67" s="103">
        <v>974.2839995099539</v>
      </c>
      <c r="D67" s="103"/>
      <c r="E67" s="73">
        <v>914.33008</v>
      </c>
      <c r="F67" s="73">
        <v>928.364</v>
      </c>
      <c r="G67" s="272"/>
      <c r="H67" s="273">
        <f>E67-F67</f>
        <v>-14.03392000000008</v>
      </c>
    </row>
    <row r="68" spans="1:8" ht="15">
      <c r="A68" s="101"/>
      <c r="B68" s="116" t="s">
        <v>116</v>
      </c>
      <c r="C68" s="103">
        <v>1314.6783167400902</v>
      </c>
      <c r="D68" s="103"/>
      <c r="E68" s="73">
        <v>1233.77776</v>
      </c>
      <c r="F68" s="73">
        <v>1254.069</v>
      </c>
      <c r="G68" s="272"/>
      <c r="H68" s="273">
        <f>E68-F68</f>
        <v>-20.291240000000016</v>
      </c>
    </row>
    <row r="69" spans="1:8" ht="15.75" thickBot="1">
      <c r="A69" s="105"/>
      <c r="B69" s="174" t="s">
        <v>117</v>
      </c>
      <c r="C69" s="107">
        <v>971.8184032165149</v>
      </c>
      <c r="D69" s="107"/>
      <c r="E69" s="87">
        <v>912.0162075999999</v>
      </c>
      <c r="F69" s="87">
        <v>726.02533</v>
      </c>
      <c r="G69" s="274"/>
      <c r="H69" s="275">
        <f>45.87986+68.56869</f>
        <v>114.44855000000001</v>
      </c>
    </row>
    <row r="70" spans="1:8" ht="20.25" customHeight="1" thickBot="1" thickTop="1">
      <c r="A70" s="175" t="s">
        <v>118</v>
      </c>
      <c r="B70" s="166" t="s">
        <v>119</v>
      </c>
      <c r="C70" s="111">
        <v>17302.711769696696</v>
      </c>
      <c r="D70" s="111"/>
      <c r="E70" s="166">
        <v>17252.013607599998</v>
      </c>
      <c r="F70" s="166">
        <v>16786.661330000003</v>
      </c>
      <c r="G70" s="166">
        <v>80.591652</v>
      </c>
      <c r="H70" s="168">
        <f>H25+H64</f>
        <v>465.35227759999907</v>
      </c>
    </row>
    <row r="71" spans="1:8" ht="19.5" thickBot="1" thickTop="1">
      <c r="A71" s="165" t="s">
        <v>120</v>
      </c>
      <c r="B71" s="166" t="s">
        <v>121</v>
      </c>
      <c r="C71" s="111">
        <v>920.99826</v>
      </c>
      <c r="D71" s="111"/>
      <c r="E71" s="166">
        <v>425.36718</v>
      </c>
      <c r="F71" s="166">
        <v>424.84105</v>
      </c>
      <c r="G71" s="166">
        <v>0</v>
      </c>
      <c r="H71" s="168">
        <f>E71-F71</f>
        <v>0.5261300000000233</v>
      </c>
    </row>
    <row r="72" spans="1:8" ht="15.75" thickTop="1">
      <c r="A72" s="176"/>
      <c r="B72" s="170" t="s">
        <v>122</v>
      </c>
      <c r="C72" s="171">
        <v>157</v>
      </c>
      <c r="D72" s="171"/>
      <c r="E72" s="117">
        <v>425.36718</v>
      </c>
      <c r="F72" s="117">
        <v>424.84105</v>
      </c>
      <c r="G72" s="117"/>
      <c r="H72" s="273">
        <f>E72-F72</f>
        <v>0.5261300000000233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1409.612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1" customHeight="1" thickTop="1">
      <c r="A76" s="276" t="s">
        <v>127</v>
      </c>
      <c r="B76" s="277" t="s">
        <v>128</v>
      </c>
      <c r="C76" s="277"/>
      <c r="D76" s="277"/>
      <c r="E76" s="277"/>
      <c r="F76" s="277"/>
      <c r="G76" s="278">
        <f>G77+G78+G79</f>
        <v>4396.928407599999</v>
      </c>
      <c r="H76" s="278"/>
    </row>
    <row r="77" spans="1:8" ht="15.75" collapsed="1">
      <c r="A77" s="279"/>
      <c r="B77" s="280" t="s">
        <v>129</v>
      </c>
      <c r="C77" s="280"/>
      <c r="D77" s="280"/>
      <c r="E77" s="280"/>
      <c r="F77" s="280"/>
      <c r="G77" s="281">
        <f>E20+H25</f>
        <v>2252.5639999999994</v>
      </c>
      <c r="H77" s="281"/>
    </row>
    <row r="78" spans="1:8" ht="15.75" collapsed="1">
      <c r="A78" s="279"/>
      <c r="B78" s="280" t="s">
        <v>130</v>
      </c>
      <c r="C78" s="280"/>
      <c r="D78" s="280"/>
      <c r="E78" s="280"/>
      <c r="F78" s="280"/>
      <c r="G78" s="281">
        <f>E21+H64</f>
        <v>2078.2482775999997</v>
      </c>
      <c r="H78" s="281"/>
    </row>
    <row r="79" spans="1:8" ht="15.75">
      <c r="A79" s="279"/>
      <c r="B79" s="280" t="s">
        <v>131</v>
      </c>
      <c r="C79" s="280"/>
      <c r="D79" s="280"/>
      <c r="E79" s="280"/>
      <c r="F79" s="280"/>
      <c r="G79" s="281">
        <f>E22+H72</f>
        <v>66.11613000000003</v>
      </c>
      <c r="H79" s="281"/>
    </row>
    <row r="80" ht="6" customHeight="1"/>
    <row r="81" spans="2:8" ht="18">
      <c r="B81" s="283" t="s">
        <v>132</v>
      </c>
      <c r="C81" s="283"/>
      <c r="D81" s="283"/>
      <c r="E81" s="283"/>
      <c r="F81" s="283"/>
      <c r="G81" s="283" t="s">
        <v>133</v>
      </c>
      <c r="H81" s="283"/>
    </row>
    <row r="82" spans="2:8" ht="18">
      <c r="B82" s="283" t="s">
        <v>134</v>
      </c>
      <c r="C82" s="283"/>
      <c r="D82" s="283"/>
      <c r="E82" s="283"/>
      <c r="F82" s="283"/>
      <c r="G82" s="283"/>
      <c r="H82" s="283"/>
    </row>
    <row r="90" spans="1:8" s="252" customFormat="1" ht="14.25">
      <c r="A90" s="282"/>
      <c r="B90" s="249"/>
      <c r="C90" s="249"/>
      <c r="D90" s="249"/>
      <c r="E90" s="249"/>
      <c r="F90" s="249"/>
      <c r="G90" s="249"/>
      <c r="H90" s="249"/>
    </row>
    <row r="91" spans="1:8" s="252" customFormat="1" ht="14.25">
      <c r="A91" s="282"/>
      <c r="B91" s="249"/>
      <c r="C91" s="249"/>
      <c r="D91" s="249"/>
      <c r="E91" s="249"/>
      <c r="F91" s="249"/>
      <c r="G91" s="249"/>
      <c r="H91" s="249"/>
    </row>
    <row r="93" spans="1:8" s="267" customFormat="1" ht="16.5">
      <c r="A93" s="282"/>
      <c r="B93" s="249"/>
      <c r="C93" s="249"/>
      <c r="D93" s="249"/>
      <c r="E93" s="249"/>
      <c r="F93" s="249"/>
      <c r="G93" s="249"/>
      <c r="H93" s="249"/>
    </row>
    <row r="94" spans="1:8" s="284" customFormat="1" ht="14.25">
      <c r="A94" s="282"/>
      <c r="B94" s="249"/>
      <c r="C94" s="249"/>
      <c r="D94" s="249"/>
      <c r="E94" s="249"/>
      <c r="F94" s="249"/>
      <c r="G94" s="249"/>
      <c r="H94" s="249"/>
    </row>
    <row r="95" spans="1:8" s="284" customFormat="1" ht="14.25">
      <c r="A95" s="282"/>
      <c r="B95" s="249"/>
      <c r="C95" s="249"/>
      <c r="D95" s="249"/>
      <c r="E95" s="249"/>
      <c r="F95" s="249"/>
      <c r="G95" s="249"/>
      <c r="H95" s="249"/>
    </row>
    <row r="96" spans="1:8" s="284" customFormat="1" ht="14.25">
      <c r="A96" s="282"/>
      <c r="B96" s="249"/>
      <c r="C96" s="249"/>
      <c r="D96" s="249"/>
      <c r="E96" s="249"/>
      <c r="F96" s="249"/>
      <c r="G96" s="249"/>
      <c r="H96" s="249"/>
    </row>
    <row r="97" spans="1:8" s="284" customFormat="1" ht="14.25">
      <c r="A97" s="282"/>
      <c r="B97" s="249"/>
      <c r="C97" s="249"/>
      <c r="D97" s="249"/>
      <c r="E97" s="249"/>
      <c r="F97" s="249"/>
      <c r="G97" s="249"/>
      <c r="H97" s="249"/>
    </row>
    <row r="98" spans="1:8" s="284" customFormat="1" ht="14.25">
      <c r="A98" s="282"/>
      <c r="B98" s="249"/>
      <c r="C98" s="249"/>
      <c r="D98" s="249"/>
      <c r="E98" s="249"/>
      <c r="F98" s="249"/>
      <c r="G98" s="249"/>
      <c r="H98" s="249"/>
    </row>
    <row r="99" spans="1:8" s="285" customFormat="1" ht="14.25">
      <c r="A99" s="282"/>
      <c r="B99" s="249"/>
      <c r="C99" s="249"/>
      <c r="D99" s="249"/>
      <c r="E99" s="249"/>
      <c r="F99" s="249"/>
      <c r="G99" s="249"/>
      <c r="H99" s="249"/>
    </row>
    <row r="100" spans="1:8" s="285" customFormat="1" ht="14.25">
      <c r="A100" s="282"/>
      <c r="B100" s="249"/>
      <c r="C100" s="249"/>
      <c r="D100" s="249"/>
      <c r="E100" s="249"/>
      <c r="F100" s="249"/>
      <c r="G100" s="249"/>
      <c r="H100" s="249"/>
    </row>
    <row r="101" spans="1:8" s="252" customFormat="1" ht="14.25">
      <c r="A101" s="282"/>
      <c r="B101" s="249"/>
      <c r="C101" s="249"/>
      <c r="D101" s="249"/>
      <c r="E101" s="249"/>
      <c r="F101" s="249"/>
      <c r="G101" s="249"/>
      <c r="H101" s="249"/>
    </row>
    <row r="102" spans="1:8" s="286" customFormat="1" ht="16.5">
      <c r="A102" s="282"/>
      <c r="B102" s="249"/>
      <c r="C102" s="249"/>
      <c r="D102" s="249"/>
      <c r="E102" s="249"/>
      <c r="F102" s="249"/>
      <c r="G102" s="249"/>
      <c r="H102" s="249"/>
    </row>
    <row r="103" spans="1:8" s="284" customFormat="1" ht="14.25">
      <c r="A103" s="282"/>
      <c r="B103" s="249"/>
      <c r="C103" s="249"/>
      <c r="D103" s="249"/>
      <c r="E103" s="249"/>
      <c r="F103" s="249"/>
      <c r="G103" s="249"/>
      <c r="H103" s="249"/>
    </row>
    <row r="104" spans="1:8" s="284" customFormat="1" ht="14.25">
      <c r="A104" s="282"/>
      <c r="B104" s="249"/>
      <c r="C104" s="249"/>
      <c r="D104" s="249"/>
      <c r="E104" s="249"/>
      <c r="F104" s="249"/>
      <c r="G104" s="249"/>
      <c r="H104" s="249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>
    <tabColor theme="6" tint="-0.24997000396251678"/>
  </sheetPr>
  <dimension ref="A1:H104"/>
  <sheetViews>
    <sheetView zoomScaleSheetLayoutView="85" zoomScalePageLayoutView="0" workbookViewId="0" topLeftCell="A1">
      <selection activeCell="B76" sqref="B76:F76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00390625" style="2" customWidth="1"/>
    <col min="4" max="4" width="9.8515625" style="2" customWidth="1"/>
    <col min="5" max="5" width="18.8515625" style="2" customWidth="1"/>
    <col min="6" max="6" width="23.8515625" style="2" customWidth="1"/>
    <col min="7" max="7" width="24.140625" style="2" customWidth="1"/>
    <col min="8" max="8" width="18.8515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18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18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3257.4</v>
      </c>
      <c r="F19" s="39" t="s">
        <v>20</v>
      </c>
    </row>
    <row r="20" spans="1:6" s="8" customFormat="1" ht="18">
      <c r="A20" s="35"/>
      <c r="B20" s="8" t="s">
        <v>21</v>
      </c>
      <c r="E20" s="146">
        <v>1616.53</v>
      </c>
      <c r="F20" s="8" t="s">
        <v>20</v>
      </c>
    </row>
    <row r="21" spans="1:6" s="8" customFormat="1" ht="18">
      <c r="A21" s="41"/>
      <c r="B21" s="8" t="s">
        <v>22</v>
      </c>
      <c r="E21" s="146">
        <v>1583.1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57.77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3033.4631373834873</v>
      </c>
      <c r="D25" s="57">
        <v>0</v>
      </c>
      <c r="E25" s="58">
        <v>3379.933</v>
      </c>
      <c r="F25" s="58">
        <v>3403.63</v>
      </c>
      <c r="G25" s="58">
        <v>42.8223744</v>
      </c>
      <c r="H25" s="59">
        <f>E25-F25</f>
        <v>-23.697000000000116</v>
      </c>
    </row>
    <row r="26" spans="1:8" s="30" customFormat="1" ht="18">
      <c r="A26" s="60" t="s">
        <v>36</v>
      </c>
      <c r="B26" s="61" t="s">
        <v>37</v>
      </c>
      <c r="C26" s="62">
        <v>395.67727</v>
      </c>
      <c r="D26" s="62"/>
      <c r="E26" s="63">
        <v>990.347</v>
      </c>
      <c r="F26" s="63">
        <v>997.26</v>
      </c>
      <c r="G26" s="63">
        <v>13.018262400000001</v>
      </c>
      <c r="H26" s="64">
        <f>E26-F26</f>
        <v>-6.913000000000011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2637.785867383487</v>
      </c>
      <c r="D50" s="62">
        <v>0</v>
      </c>
      <c r="E50" s="63">
        <v>2389.586</v>
      </c>
      <c r="F50" s="63">
        <v>2406.37</v>
      </c>
      <c r="G50" s="63">
        <v>29.804112000000007</v>
      </c>
      <c r="H50" s="64">
        <f aca="true" t="shared" si="0" ref="H50:H62">E50-F50</f>
        <v>-16.784000000000106</v>
      </c>
    </row>
    <row r="51" spans="1:8" ht="15">
      <c r="A51" s="77" t="s">
        <v>84</v>
      </c>
      <c r="B51" s="78" t="s">
        <v>85</v>
      </c>
      <c r="C51" s="79">
        <v>731.3361139361558</v>
      </c>
      <c r="D51" s="80"/>
      <c r="E51" s="73">
        <v>375.106</v>
      </c>
      <c r="F51" s="73">
        <v>377.8</v>
      </c>
      <c r="G51" s="81">
        <v>4.766486400000002</v>
      </c>
      <c r="H51" s="82">
        <f t="shared" si="0"/>
        <v>-2.694000000000017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77.86049135495807</v>
      </c>
      <c r="D53" s="80"/>
      <c r="E53" s="73">
        <v>76.18</v>
      </c>
      <c r="F53" s="73">
        <v>76.58</v>
      </c>
      <c r="G53" s="81">
        <v>0.9717552</v>
      </c>
      <c r="H53" s="82">
        <f t="shared" si="0"/>
        <v>-0.3999999999999915</v>
      </c>
    </row>
    <row r="54" spans="1:8" ht="15">
      <c r="A54" s="77" t="s">
        <v>90</v>
      </c>
      <c r="B54" s="78" t="s">
        <v>91</v>
      </c>
      <c r="C54" s="79">
        <v>327.8423980247361</v>
      </c>
      <c r="D54" s="80"/>
      <c r="E54" s="73">
        <v>313.83</v>
      </c>
      <c r="F54" s="73">
        <v>316.2</v>
      </c>
      <c r="G54" s="81">
        <v>3.8870208</v>
      </c>
      <c r="H54" s="82">
        <f t="shared" si="0"/>
        <v>-2.3700000000000045</v>
      </c>
    </row>
    <row r="55" spans="1:8" ht="31.5" customHeight="1">
      <c r="A55" s="77" t="s">
        <v>92</v>
      </c>
      <c r="B55" s="78" t="s">
        <v>93</v>
      </c>
      <c r="C55" s="79">
        <v>659.5735306324088</v>
      </c>
      <c r="D55" s="80"/>
      <c r="E55" s="73">
        <v>826.393</v>
      </c>
      <c r="F55" s="73">
        <v>832.19</v>
      </c>
      <c r="G55" s="81">
        <v>10.0487088</v>
      </c>
      <c r="H55" s="82">
        <f t="shared" si="0"/>
        <v>-5.7970000000000255</v>
      </c>
    </row>
    <row r="56" spans="1:8" ht="15">
      <c r="A56" s="77" t="s">
        <v>94</v>
      </c>
      <c r="B56" s="78" t="s">
        <v>95</v>
      </c>
      <c r="C56" s="79">
        <v>498.83733629379986</v>
      </c>
      <c r="D56" s="80"/>
      <c r="E56" s="73">
        <v>451.287</v>
      </c>
      <c r="F56" s="73">
        <v>454.39</v>
      </c>
      <c r="G56" s="81">
        <v>5.9825376</v>
      </c>
      <c r="H56" s="82">
        <f t="shared" si="0"/>
        <v>-3.1030000000000086</v>
      </c>
    </row>
    <row r="57" spans="1:8" ht="15">
      <c r="A57" s="77" t="s">
        <v>96</v>
      </c>
      <c r="B57" s="78" t="s">
        <v>97</v>
      </c>
      <c r="C57" s="79">
        <v>12.68317080735555</v>
      </c>
      <c r="D57" s="80"/>
      <c r="E57" s="73">
        <v>18.217</v>
      </c>
      <c r="F57" s="73">
        <v>18.38</v>
      </c>
      <c r="G57" s="81">
        <v>0.2334384</v>
      </c>
      <c r="H57" s="82">
        <f t="shared" si="0"/>
        <v>-0.16300000000000026</v>
      </c>
    </row>
    <row r="58" spans="1:8" s="30" customFormat="1" ht="15.75">
      <c r="A58" s="77" t="s">
        <v>98</v>
      </c>
      <c r="B58" s="78" t="s">
        <v>99</v>
      </c>
      <c r="C58" s="79">
        <v>307.195316205424</v>
      </c>
      <c r="D58" s="80"/>
      <c r="E58" s="73">
        <v>298.097</v>
      </c>
      <c r="F58" s="73">
        <v>300.2</v>
      </c>
      <c r="G58" s="81">
        <v>3.876163200000001</v>
      </c>
      <c r="H58" s="82">
        <f t="shared" si="0"/>
        <v>-2.1030000000000086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3.0773311151536764</v>
      </c>
      <c r="D61" s="80"/>
      <c r="E61" s="73">
        <v>3.312</v>
      </c>
      <c r="F61" s="73">
        <v>3.4</v>
      </c>
      <c r="G61" s="81">
        <v>0.0380016</v>
      </c>
      <c r="H61" s="82">
        <f t="shared" si="0"/>
        <v>-0.08800000000000008</v>
      </c>
    </row>
    <row r="62" spans="1:8" s="30" customFormat="1" ht="16.5" thickBot="1">
      <c r="A62" s="83" t="s">
        <v>106</v>
      </c>
      <c r="B62" s="84" t="s">
        <v>107</v>
      </c>
      <c r="C62" s="85">
        <v>19.380179013495347</v>
      </c>
      <c r="D62" s="86"/>
      <c r="E62" s="87">
        <v>27.164</v>
      </c>
      <c r="F62" s="87">
        <v>27.23</v>
      </c>
      <c r="G62" s="88">
        <v>0</v>
      </c>
      <c r="H62" s="89">
        <f t="shared" si="0"/>
        <v>-0.06599999999999895</v>
      </c>
    </row>
    <row r="63" spans="1:8" ht="46.5" hidden="1" thickBot="1" thickTop="1">
      <c r="A63" s="90" t="s">
        <v>108</v>
      </c>
      <c r="B63" s="91" t="s">
        <v>109</v>
      </c>
      <c r="C63" s="92">
        <v>614.6009924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4657.700868407225</v>
      </c>
      <c r="D64" s="98"/>
      <c r="E64" s="100">
        <v>4443.7230014</v>
      </c>
      <c r="F64" s="100">
        <v>4330.53543</v>
      </c>
      <c r="G64" s="99">
        <v>33.36540480000001</v>
      </c>
      <c r="H64" s="100">
        <f>E64-F64</f>
        <v>113.1875713999998</v>
      </c>
    </row>
    <row r="65" spans="1:8" ht="15">
      <c r="A65" s="101"/>
      <c r="B65" s="102" t="s">
        <v>113</v>
      </c>
      <c r="C65" s="103">
        <v>2654.752197809162</v>
      </c>
      <c r="D65" s="103"/>
      <c r="E65" s="73">
        <v>2564.02856</v>
      </c>
      <c r="F65" s="73">
        <v>2512.47</v>
      </c>
      <c r="G65" s="81">
        <v>33.36540480000001</v>
      </c>
      <c r="H65" s="104">
        <f>E65-F65</f>
        <v>51.5585600000004</v>
      </c>
    </row>
    <row r="66" spans="1:8" ht="15">
      <c r="A66" s="101"/>
      <c r="B66" s="102" t="s">
        <v>114</v>
      </c>
      <c r="C66" s="103">
        <v>525.6585704445102</v>
      </c>
      <c r="D66" s="103"/>
      <c r="E66" s="73">
        <v>493.31144</v>
      </c>
      <c r="F66" s="73">
        <v>481.399</v>
      </c>
      <c r="G66" s="81"/>
      <c r="H66" s="104">
        <f>E66-F66</f>
        <v>11.912440000000004</v>
      </c>
    </row>
    <row r="67" spans="1:8" ht="15">
      <c r="A67" s="101"/>
      <c r="B67" s="102" t="s">
        <v>115</v>
      </c>
      <c r="C67" s="103">
        <v>464.7049763471925</v>
      </c>
      <c r="D67" s="103"/>
      <c r="E67" s="73">
        <v>436.10871</v>
      </c>
      <c r="F67" s="73">
        <v>422.163</v>
      </c>
      <c r="G67" s="81"/>
      <c r="H67" s="104">
        <f>E67-F67</f>
        <v>13.945709999999963</v>
      </c>
    </row>
    <row r="68" spans="1:8" ht="15">
      <c r="A68" s="101"/>
      <c r="B68" s="102" t="s">
        <v>116</v>
      </c>
      <c r="C68" s="103">
        <v>621.7752754229977</v>
      </c>
      <c r="D68" s="103"/>
      <c r="E68" s="73">
        <v>583.51347</v>
      </c>
      <c r="F68" s="73">
        <v>571.257</v>
      </c>
      <c r="G68" s="81"/>
      <c r="H68" s="104">
        <f>E68-F68</f>
        <v>12.256470000000036</v>
      </c>
    </row>
    <row r="69" spans="1:8" ht="15.75" thickBot="1">
      <c r="A69" s="105"/>
      <c r="B69" s="106" t="s">
        <v>117</v>
      </c>
      <c r="C69" s="107">
        <v>390.8098483833627</v>
      </c>
      <c r="D69" s="107"/>
      <c r="E69" s="87">
        <v>366.7608214</v>
      </c>
      <c r="F69" s="87">
        <v>343.24643</v>
      </c>
      <c r="G69" s="88"/>
      <c r="H69" s="108">
        <f>(-5868.73+55342.60141)/1000</f>
        <v>49.47387141000001</v>
      </c>
    </row>
    <row r="70" spans="1:8" ht="19.5" thickBot="1" thickTop="1">
      <c r="A70" s="109" t="s">
        <v>118</v>
      </c>
      <c r="B70" s="110" t="s">
        <v>119</v>
      </c>
      <c r="C70" s="111">
        <v>7691.1640057907125</v>
      </c>
      <c r="D70" s="111"/>
      <c r="E70" s="113">
        <v>7823.6560014</v>
      </c>
      <c r="F70" s="113">
        <v>7734.16543</v>
      </c>
      <c r="G70" s="112">
        <v>76.18777920000001</v>
      </c>
      <c r="H70" s="113">
        <f>H25+H64</f>
        <v>89.49057139999968</v>
      </c>
    </row>
    <row r="71" spans="1:8" ht="19.5" thickBot="1" thickTop="1">
      <c r="A71" s="109" t="s">
        <v>120</v>
      </c>
      <c r="B71" s="110" t="s">
        <v>121</v>
      </c>
      <c r="C71" s="114">
        <v>5926.4438</v>
      </c>
      <c r="D71" s="114"/>
      <c r="E71" s="113">
        <v>238.34055</v>
      </c>
      <c r="F71" s="113">
        <v>246.2872</v>
      </c>
      <c r="G71" s="112">
        <v>5926.4438</v>
      </c>
      <c r="H71" s="113">
        <f>E71-F71</f>
        <v>-7.946650000000005</v>
      </c>
    </row>
    <row r="72" spans="1:8" ht="15.75" thickTop="1">
      <c r="A72" s="115"/>
      <c r="B72" s="116" t="s">
        <v>122</v>
      </c>
      <c r="C72" s="103"/>
      <c r="D72" s="103"/>
      <c r="E72" s="81">
        <v>226.21338</v>
      </c>
      <c r="F72" s="81">
        <v>229.89052</v>
      </c>
      <c r="G72" s="117"/>
      <c r="H72" s="104">
        <f>E72-F72</f>
        <v>-3.6771400000000085</v>
      </c>
    </row>
    <row r="73" spans="1:8" ht="15">
      <c r="A73" s="115"/>
      <c r="B73" s="116" t="s">
        <v>123</v>
      </c>
      <c r="C73" s="118"/>
      <c r="D73" s="118"/>
      <c r="E73" s="81">
        <v>12.12717</v>
      </c>
      <c r="F73" s="81">
        <v>16.39668</v>
      </c>
      <c r="G73" s="119"/>
      <c r="H73" s="104">
        <f>E73-F73</f>
        <v>-4.26951</v>
      </c>
    </row>
    <row r="74" spans="1:8" ht="29.25" thickBot="1">
      <c r="A74" s="120"/>
      <c r="B74" s="121" t="s">
        <v>124</v>
      </c>
      <c r="C74" s="122"/>
      <c r="D74" s="123"/>
      <c r="E74" s="124">
        <v>767.84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1048.68658</v>
      </c>
      <c r="D75" s="114"/>
      <c r="E75" s="113">
        <v>1048.68658</v>
      </c>
      <c r="F75" s="113">
        <v>1012.4156</v>
      </c>
      <c r="G75" s="112"/>
      <c r="H75" s="113">
        <f>E75-F75</f>
        <v>36.27098000000001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3343.2134314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1592.8329999999999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1696.2875713999997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54.092859999999995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1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421875" style="140" customWidth="1"/>
    <col min="3" max="3" width="15.00390625" style="140" customWidth="1"/>
    <col min="4" max="4" width="10.28125" style="140" customWidth="1"/>
    <col min="5" max="5" width="20.421875" style="140" customWidth="1"/>
    <col min="6" max="6" width="23.7109375" style="140" customWidth="1"/>
    <col min="7" max="7" width="22.7109375" style="140" customWidth="1"/>
    <col min="8" max="8" width="21.14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19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19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1776.3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1029.01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693.13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54.16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3608.052261510607</v>
      </c>
      <c r="D25" s="57">
        <v>0</v>
      </c>
      <c r="E25" s="58">
        <v>3938.0570000000002</v>
      </c>
      <c r="F25" s="58">
        <v>3855.03</v>
      </c>
      <c r="G25" s="157">
        <v>84.4028016</v>
      </c>
      <c r="H25" s="59">
        <f>E25-F25</f>
        <v>83.02700000000004</v>
      </c>
    </row>
    <row r="26" spans="1:8" s="143" customFormat="1" ht="18">
      <c r="A26" s="60" t="s">
        <v>36</v>
      </c>
      <c r="B26" s="61" t="s">
        <v>37</v>
      </c>
      <c r="C26" s="62">
        <v>536.19881</v>
      </c>
      <c r="D26" s="62"/>
      <c r="E26" s="63">
        <v>675.927</v>
      </c>
      <c r="F26" s="63">
        <v>650.73</v>
      </c>
      <c r="G26" s="63">
        <v>14.6497104</v>
      </c>
      <c r="H26" s="64">
        <f>E26-F26</f>
        <v>25.197000000000003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3071.853451510607</v>
      </c>
      <c r="D50" s="62">
        <v>0</v>
      </c>
      <c r="E50" s="63">
        <v>3262.13</v>
      </c>
      <c r="F50" s="63">
        <v>3204.3</v>
      </c>
      <c r="G50" s="63">
        <v>69.75309120000001</v>
      </c>
      <c r="H50" s="64">
        <f aca="true" t="shared" si="0" ref="H50:H62">E50-F50</f>
        <v>57.82999999999993</v>
      </c>
    </row>
    <row r="51" spans="1:8" ht="15">
      <c r="A51" s="77" t="s">
        <v>84</v>
      </c>
      <c r="B51" s="78" t="s">
        <v>85</v>
      </c>
      <c r="C51" s="79">
        <v>426.4317379727386</v>
      </c>
      <c r="D51" s="80"/>
      <c r="E51" s="73">
        <v>218.719</v>
      </c>
      <c r="F51" s="73">
        <v>214.73</v>
      </c>
      <c r="G51" s="81">
        <v>4.7010912</v>
      </c>
      <c r="H51" s="82">
        <f t="shared" si="0"/>
        <v>3.9890000000000043</v>
      </c>
    </row>
    <row r="52" spans="1:8" s="158" customFormat="1" ht="15">
      <c r="A52" s="77" t="s">
        <v>86</v>
      </c>
      <c r="B52" s="78" t="s">
        <v>87</v>
      </c>
      <c r="C52" s="79">
        <v>468.9801203735614</v>
      </c>
      <c r="D52" s="80"/>
      <c r="E52" s="73">
        <v>596.437</v>
      </c>
      <c r="F52" s="73">
        <v>585.97</v>
      </c>
      <c r="G52" s="81">
        <v>13.339996800000002</v>
      </c>
      <c r="H52" s="82">
        <f t="shared" si="0"/>
        <v>10.466999999999985</v>
      </c>
    </row>
    <row r="53" spans="1:8" s="159" customFormat="1" ht="16.5">
      <c r="A53" s="77" t="s">
        <v>88</v>
      </c>
      <c r="B53" s="78" t="s">
        <v>89</v>
      </c>
      <c r="C53" s="79">
        <v>93.53888381209975</v>
      </c>
      <c r="D53" s="80"/>
      <c r="E53" s="73">
        <v>91.52</v>
      </c>
      <c r="F53" s="73">
        <v>90.21</v>
      </c>
      <c r="G53" s="81">
        <v>1.9862544</v>
      </c>
      <c r="H53" s="82">
        <f t="shared" si="0"/>
        <v>1.3100000000000023</v>
      </c>
    </row>
    <row r="54" spans="1:8" s="160" customFormat="1" ht="15">
      <c r="A54" s="77" t="s">
        <v>90</v>
      </c>
      <c r="B54" s="78" t="s">
        <v>91</v>
      </c>
      <c r="C54" s="79">
        <v>307.07685238558213</v>
      </c>
      <c r="D54" s="80"/>
      <c r="E54" s="73">
        <v>293.952</v>
      </c>
      <c r="F54" s="73">
        <v>288.74</v>
      </c>
      <c r="G54" s="81">
        <v>6.2102976</v>
      </c>
      <c r="H54" s="82">
        <f t="shared" si="0"/>
        <v>5.211999999999989</v>
      </c>
    </row>
    <row r="55" spans="1:8" ht="30" customHeight="1">
      <c r="A55" s="77" t="s">
        <v>92</v>
      </c>
      <c r="B55" s="78" t="s">
        <v>93</v>
      </c>
      <c r="C55" s="79">
        <v>1165.0239176040648</v>
      </c>
      <c r="D55" s="80"/>
      <c r="E55" s="73">
        <v>1459.682</v>
      </c>
      <c r="F55" s="73">
        <v>1434.46</v>
      </c>
      <c r="G55" s="81">
        <v>31.320369600000003</v>
      </c>
      <c r="H55" s="82">
        <f t="shared" si="0"/>
        <v>25.22199999999998</v>
      </c>
    </row>
    <row r="56" spans="1:8" ht="15">
      <c r="A56" s="77" t="s">
        <v>94</v>
      </c>
      <c r="B56" s="78" t="s">
        <v>95</v>
      </c>
      <c r="C56" s="79">
        <v>342.92876863678435</v>
      </c>
      <c r="D56" s="80"/>
      <c r="E56" s="73">
        <v>310.24</v>
      </c>
      <c r="F56" s="73">
        <v>304.93</v>
      </c>
      <c r="G56" s="81">
        <v>6.999595200000001</v>
      </c>
      <c r="H56" s="82">
        <f t="shared" si="0"/>
        <v>5.310000000000002</v>
      </c>
    </row>
    <row r="57" spans="1:8" ht="17.25" customHeight="1">
      <c r="A57" s="77" t="s">
        <v>96</v>
      </c>
      <c r="B57" s="78" t="s">
        <v>97</v>
      </c>
      <c r="C57" s="79">
        <v>33.47947711551333</v>
      </c>
      <c r="D57" s="80"/>
      <c r="E57" s="73">
        <v>48.087</v>
      </c>
      <c r="F57" s="73">
        <v>47.8</v>
      </c>
      <c r="G57" s="81">
        <v>1.0581791999999999</v>
      </c>
      <c r="H57" s="82">
        <f t="shared" si="0"/>
        <v>0.28700000000000614</v>
      </c>
    </row>
    <row r="58" spans="1:8" ht="15">
      <c r="A58" s="77" t="s">
        <v>98</v>
      </c>
      <c r="B58" s="78" t="s">
        <v>99</v>
      </c>
      <c r="C58" s="79">
        <v>195.0220391705105</v>
      </c>
      <c r="D58" s="80"/>
      <c r="E58" s="73">
        <v>189.246</v>
      </c>
      <c r="F58" s="73">
        <v>185.81</v>
      </c>
      <c r="G58" s="81">
        <v>4.076592</v>
      </c>
      <c r="H58" s="82">
        <f t="shared" si="0"/>
        <v>3.436000000000007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2.8822104828522654</v>
      </c>
      <c r="D61" s="80"/>
      <c r="E61" s="73">
        <v>3.102</v>
      </c>
      <c r="F61" s="73">
        <v>3.08</v>
      </c>
      <c r="G61" s="81">
        <v>0.060715200000000004</v>
      </c>
      <c r="H61" s="82">
        <f t="shared" si="0"/>
        <v>0.021999999999999797</v>
      </c>
    </row>
    <row r="62" spans="1:8" s="143" customFormat="1" ht="15.75" thickBot="1">
      <c r="A62" s="83" t="s">
        <v>106</v>
      </c>
      <c r="B62" s="84" t="s">
        <v>107</v>
      </c>
      <c r="C62" s="85">
        <v>36.48944395689956</v>
      </c>
      <c r="D62" s="86"/>
      <c r="E62" s="87">
        <v>51.145</v>
      </c>
      <c r="F62" s="87">
        <v>48.57</v>
      </c>
      <c r="G62" s="88">
        <v>0</v>
      </c>
      <c r="H62" s="89">
        <f t="shared" si="0"/>
        <v>2.575000000000003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129.18090040000004</v>
      </c>
      <c r="D63" s="93"/>
      <c r="E63" s="94" t="s">
        <v>110</v>
      </c>
      <c r="F63" s="94"/>
      <c r="G63" s="163">
        <v>7.234016772134262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4548.414113663495</v>
      </c>
      <c r="D64" s="111"/>
      <c r="E64" s="167">
        <v>4289.462850000001</v>
      </c>
      <c r="F64" s="167">
        <v>4206.87127</v>
      </c>
      <c r="G64" s="167">
        <v>53.3079456</v>
      </c>
      <c r="H64" s="168">
        <f>E64-F64</f>
        <v>82.59158000000116</v>
      </c>
    </row>
    <row r="65" spans="1:8" ht="15.75" thickTop="1">
      <c r="A65" s="169"/>
      <c r="B65" s="170" t="s">
        <v>113</v>
      </c>
      <c r="C65" s="171">
        <v>2587.9438843674416</v>
      </c>
      <c r="D65" s="171"/>
      <c r="E65" s="172">
        <v>2449.63288</v>
      </c>
      <c r="F65" s="172">
        <v>2379.69</v>
      </c>
      <c r="G65" s="163">
        <v>53.3079456</v>
      </c>
      <c r="H65" s="173">
        <f>E65-F65</f>
        <v>69.94288000000006</v>
      </c>
    </row>
    <row r="66" spans="1:8" ht="15">
      <c r="A66" s="101"/>
      <c r="B66" s="116" t="s">
        <v>114</v>
      </c>
      <c r="C66" s="103">
        <v>503.31932387000575</v>
      </c>
      <c r="D66" s="103"/>
      <c r="E66" s="73">
        <v>472.34687</v>
      </c>
      <c r="F66" s="73">
        <v>500.409</v>
      </c>
      <c r="G66" s="81"/>
      <c r="H66" s="104">
        <f>E66-F66</f>
        <v>-28.062129999999968</v>
      </c>
    </row>
    <row r="67" spans="1:8" ht="15">
      <c r="A67" s="101"/>
      <c r="B67" s="116" t="s">
        <v>115</v>
      </c>
      <c r="C67" s="103">
        <v>434.7253376269913</v>
      </c>
      <c r="D67" s="103"/>
      <c r="E67" s="73">
        <v>407.97391</v>
      </c>
      <c r="F67" s="73">
        <v>433.643</v>
      </c>
      <c r="G67" s="81"/>
      <c r="H67" s="104">
        <f>E67-F67</f>
        <v>-25.669089999999983</v>
      </c>
    </row>
    <row r="68" spans="1:8" ht="15">
      <c r="A68" s="101"/>
      <c r="B68" s="116" t="s">
        <v>116</v>
      </c>
      <c r="C68" s="103">
        <v>585.9121587104568</v>
      </c>
      <c r="D68" s="103"/>
      <c r="E68" s="73">
        <v>549.85724</v>
      </c>
      <c r="F68" s="73">
        <v>583.629</v>
      </c>
      <c r="G68" s="81"/>
      <c r="H68" s="104">
        <f>E68-F68</f>
        <v>-33.77175999999997</v>
      </c>
    </row>
    <row r="69" spans="1:8" ht="15.75" thickBot="1">
      <c r="A69" s="105"/>
      <c r="B69" s="174" t="s">
        <v>117</v>
      </c>
      <c r="C69" s="107">
        <v>436.51340908859925</v>
      </c>
      <c r="D69" s="107"/>
      <c r="E69" s="87">
        <v>409.65195</v>
      </c>
      <c r="F69" s="87">
        <v>309.50027</v>
      </c>
      <c r="G69" s="88"/>
      <c r="H69" s="108">
        <f>58.75154+0.9841196</f>
        <v>59.7356596</v>
      </c>
    </row>
    <row r="70" spans="1:8" ht="20.25" customHeight="1" thickBot="1" thickTop="1">
      <c r="A70" s="175" t="s">
        <v>118</v>
      </c>
      <c r="B70" s="166" t="s">
        <v>119</v>
      </c>
      <c r="C70" s="111">
        <v>8156.466375174103</v>
      </c>
      <c r="D70" s="111"/>
      <c r="E70" s="166">
        <v>8227.51985</v>
      </c>
      <c r="F70" s="166">
        <v>8061.90127</v>
      </c>
      <c r="G70" s="166">
        <v>137.71074720000001</v>
      </c>
      <c r="H70" s="168">
        <f>H25+H64</f>
        <v>165.6185800000012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217.88073</v>
      </c>
      <c r="F71" s="166">
        <v>214.19107</v>
      </c>
      <c r="G71" s="166">
        <v>0</v>
      </c>
      <c r="H71" s="168">
        <f>E71-F71</f>
        <v>3.6896600000000035</v>
      </c>
    </row>
    <row r="72" spans="1:8" ht="15.75" thickTop="1">
      <c r="A72" s="176"/>
      <c r="B72" s="170" t="s">
        <v>122</v>
      </c>
      <c r="C72" s="177"/>
      <c r="D72" s="177"/>
      <c r="E72" s="117">
        <v>217.88073</v>
      </c>
      <c r="F72" s="117">
        <v>214.19107</v>
      </c>
      <c r="G72" s="117"/>
      <c r="H72" s="104">
        <f>E72-F72</f>
        <v>3.6896600000000035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431.689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2.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1945.6082400000012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1112.037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775.7215800000012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57.84966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theme="6" tint="-0.24997000396251678"/>
  </sheetPr>
  <dimension ref="A1:H104"/>
  <sheetViews>
    <sheetView zoomScaleSheetLayoutView="80" zoomScalePageLayoutView="0" workbookViewId="0" topLeftCell="A1">
      <selection activeCell="F75" sqref="F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57421875" style="2" customWidth="1"/>
    <col min="4" max="4" width="11.00390625" style="2" customWidth="1"/>
    <col min="5" max="5" width="17.421875" style="2" customWidth="1"/>
    <col min="6" max="7" width="23.8515625" style="2" customWidth="1"/>
    <col min="8" max="8" width="22.71093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27.75" customHeight="1">
      <c r="A2" s="3"/>
      <c r="B2" s="4" t="s">
        <v>1</v>
      </c>
      <c r="C2" s="5" t="s">
        <v>2</v>
      </c>
      <c r="D2" s="6" t="str">
        <f>B17</f>
        <v>50 лет Октября/ пр. Ленинский</v>
      </c>
      <c r="E2" s="6"/>
      <c r="F2" s="5" t="s">
        <v>3</v>
      </c>
      <c r="G2" s="7">
        <f>D17</f>
        <v>1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8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17</v>
      </c>
      <c r="C17" s="31" t="s">
        <v>3</v>
      </c>
      <c r="D17" s="31">
        <v>1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3445.7</v>
      </c>
      <c r="F19" s="39" t="s">
        <v>20</v>
      </c>
    </row>
    <row r="20" spans="1:6" s="8" customFormat="1" ht="18">
      <c r="A20" s="35"/>
      <c r="B20" s="8" t="s">
        <v>21</v>
      </c>
      <c r="E20" s="40">
        <v>1906.53</v>
      </c>
      <c r="F20" s="8" t="s">
        <v>20</v>
      </c>
    </row>
    <row r="21" spans="1:6" s="8" customFormat="1" ht="18">
      <c r="A21" s="41"/>
      <c r="B21" s="8" t="s">
        <v>22</v>
      </c>
      <c r="E21" s="40">
        <v>1446.75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40">
        <v>92.42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2766.222202412075</v>
      </c>
      <c r="D25" s="57">
        <v>0</v>
      </c>
      <c r="E25" s="58">
        <v>3314.0919999999996</v>
      </c>
      <c r="F25" s="58">
        <v>3463.4620000000004</v>
      </c>
      <c r="G25" s="58">
        <v>156.3859104</v>
      </c>
      <c r="H25" s="59">
        <f>E25-F25</f>
        <v>-149.3700000000008</v>
      </c>
    </row>
    <row r="26" spans="1:8" s="30" customFormat="1" ht="18">
      <c r="A26" s="60" t="s">
        <v>36</v>
      </c>
      <c r="B26" s="61" t="s">
        <v>37</v>
      </c>
      <c r="C26" s="62">
        <v>203.97976</v>
      </c>
      <c r="D26" s="62"/>
      <c r="E26" s="63">
        <v>999.733</v>
      </c>
      <c r="F26" s="63">
        <v>1049.428</v>
      </c>
      <c r="G26" s="63">
        <v>47.542268400000005</v>
      </c>
      <c r="H26" s="64">
        <f>E26-F26</f>
        <v>-49.695000000000164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2562.242442412075</v>
      </c>
      <c r="D50" s="62">
        <v>0</v>
      </c>
      <c r="E50" s="63">
        <v>2314.359</v>
      </c>
      <c r="F50" s="63">
        <v>2414.034</v>
      </c>
      <c r="G50" s="63">
        <v>108.843642</v>
      </c>
      <c r="H50" s="64">
        <f aca="true" t="shared" si="0" ref="H50:H62">E50-F50</f>
        <v>-99.67500000000018</v>
      </c>
    </row>
    <row r="51" spans="1:8" ht="15">
      <c r="A51" s="77" t="s">
        <v>84</v>
      </c>
      <c r="B51" s="78" t="s">
        <v>85</v>
      </c>
      <c r="C51" s="79">
        <v>713.3210843371356</v>
      </c>
      <c r="D51" s="80"/>
      <c r="E51" s="73">
        <v>365.866</v>
      </c>
      <c r="F51" s="73">
        <v>382.88</v>
      </c>
      <c r="G51" s="81">
        <v>17.4070524</v>
      </c>
      <c r="H51" s="82">
        <f t="shared" si="0"/>
        <v>-17.01400000000001</v>
      </c>
    </row>
    <row r="52" spans="1:8" ht="15">
      <c r="A52" s="77" t="s">
        <v>86</v>
      </c>
      <c r="B52" s="78" t="s">
        <v>87</v>
      </c>
      <c r="C52" s="79">
        <v>2.5908679317863994</v>
      </c>
      <c r="D52" s="80"/>
      <c r="E52" s="73">
        <v>3.295</v>
      </c>
      <c r="F52" s="73">
        <v>3.314</v>
      </c>
      <c r="G52" s="81">
        <v>0</v>
      </c>
      <c r="H52" s="82">
        <f t="shared" si="0"/>
        <v>-0.019000000000000128</v>
      </c>
    </row>
    <row r="53" spans="1:8" ht="15">
      <c r="A53" s="77" t="s">
        <v>88</v>
      </c>
      <c r="B53" s="78" t="s">
        <v>89</v>
      </c>
      <c r="C53" s="79">
        <v>76.20884323170246</v>
      </c>
      <c r="D53" s="80"/>
      <c r="E53" s="73">
        <v>74.56400000000001</v>
      </c>
      <c r="F53" s="73">
        <v>77.58</v>
      </c>
      <c r="G53" s="81">
        <v>3.5488182</v>
      </c>
      <c r="H53" s="82">
        <f t="shared" si="0"/>
        <v>-3.015999999999991</v>
      </c>
    </row>
    <row r="54" spans="1:8" ht="15">
      <c r="A54" s="77" t="s">
        <v>90</v>
      </c>
      <c r="B54" s="78" t="s">
        <v>91</v>
      </c>
      <c r="C54" s="79">
        <v>320.4076265027592</v>
      </c>
      <c r="D54" s="80"/>
      <c r="E54" s="73">
        <v>306.713</v>
      </c>
      <c r="F54" s="73">
        <v>320.37</v>
      </c>
      <c r="G54" s="81">
        <v>14.1952728</v>
      </c>
      <c r="H54" s="82">
        <f t="shared" si="0"/>
        <v>-13.656999999999982</v>
      </c>
    </row>
    <row r="55" spans="1:8" ht="31.5" customHeight="1">
      <c r="A55" s="77" t="s">
        <v>92</v>
      </c>
      <c r="B55" s="78" t="s">
        <v>93</v>
      </c>
      <c r="C55" s="79">
        <v>647.6390115796744</v>
      </c>
      <c r="D55" s="80"/>
      <c r="E55" s="73">
        <v>811.44</v>
      </c>
      <c r="F55" s="73">
        <v>843.35</v>
      </c>
      <c r="G55" s="81">
        <v>36.697555799999996</v>
      </c>
      <c r="H55" s="82">
        <f t="shared" si="0"/>
        <v>-31.909999999999968</v>
      </c>
    </row>
    <row r="56" spans="1:8" ht="15">
      <c r="A56" s="77" t="s">
        <v>94</v>
      </c>
      <c r="B56" s="78" t="s">
        <v>95</v>
      </c>
      <c r="C56" s="79">
        <v>486.8374822700734</v>
      </c>
      <c r="D56" s="80"/>
      <c r="E56" s="73">
        <v>440.43100000000004</v>
      </c>
      <c r="F56" s="73">
        <v>460.29</v>
      </c>
      <c r="G56" s="81">
        <v>21.848031600000002</v>
      </c>
      <c r="H56" s="82">
        <f t="shared" si="0"/>
        <v>-19.85899999999998</v>
      </c>
    </row>
    <row r="57" spans="1:8" ht="15">
      <c r="A57" s="77" t="s">
        <v>96</v>
      </c>
      <c r="B57" s="78" t="s">
        <v>97</v>
      </c>
      <c r="C57" s="79">
        <v>12.513987599023366</v>
      </c>
      <c r="D57" s="80"/>
      <c r="E57" s="73">
        <v>17.974</v>
      </c>
      <c r="F57" s="73">
        <v>18.7</v>
      </c>
      <c r="G57" s="81">
        <v>0.8525094000000001</v>
      </c>
      <c r="H57" s="82">
        <f t="shared" si="0"/>
        <v>-0.7259999999999991</v>
      </c>
    </row>
    <row r="58" spans="1:8" s="30" customFormat="1" ht="15.75">
      <c r="A58" s="77" t="s">
        <v>98</v>
      </c>
      <c r="B58" s="78" t="s">
        <v>99</v>
      </c>
      <c r="C58" s="79">
        <v>299.71682293074235</v>
      </c>
      <c r="D58" s="80"/>
      <c r="E58" s="73">
        <v>290.84</v>
      </c>
      <c r="F58" s="73">
        <v>304.09</v>
      </c>
      <c r="G58" s="81">
        <v>14.155621200000002</v>
      </c>
      <c r="H58" s="82">
        <f t="shared" si="0"/>
        <v>-13.25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3.0067160291779276</v>
      </c>
      <c r="D61" s="80"/>
      <c r="E61" s="73">
        <v>3.2359999999999998</v>
      </c>
      <c r="F61" s="73">
        <v>3.46</v>
      </c>
      <c r="G61" s="81">
        <v>0.13878060000000003</v>
      </c>
      <c r="H61" s="82">
        <f t="shared" si="0"/>
        <v>-0.2240000000000002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31.5" customHeight="1" hidden="1" thickBot="1">
      <c r="A63" s="90" t="s">
        <v>108</v>
      </c>
      <c r="B63" s="91" t="s">
        <v>109</v>
      </c>
      <c r="C63" s="92">
        <v>892.9905084000002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4419.067132439136</v>
      </c>
      <c r="D64" s="98"/>
      <c r="E64" s="99">
        <v>4087.4109099999996</v>
      </c>
      <c r="F64" s="99">
        <v>4133.55487</v>
      </c>
      <c r="G64" s="99">
        <v>121.8493668</v>
      </c>
      <c r="H64" s="100">
        <f>E64-F64</f>
        <v>-46.143960000000334</v>
      </c>
    </row>
    <row r="65" spans="1:8" ht="15">
      <c r="A65" s="101"/>
      <c r="B65" s="102" t="s">
        <v>113</v>
      </c>
      <c r="C65" s="103">
        <v>2888.630401949763</v>
      </c>
      <c r="D65" s="103"/>
      <c r="E65" s="73">
        <v>2651.15173</v>
      </c>
      <c r="F65" s="73">
        <v>2700.749</v>
      </c>
      <c r="G65" s="81">
        <v>121.8493668</v>
      </c>
      <c r="H65" s="104">
        <f>E65-F65</f>
        <v>-49.59726999999975</v>
      </c>
    </row>
    <row r="66" spans="1:8" ht="15">
      <c r="A66" s="101"/>
      <c r="B66" s="102" t="s">
        <v>114</v>
      </c>
      <c r="C66" s="103">
        <v>382.46823416307876</v>
      </c>
      <c r="D66" s="103"/>
      <c r="E66" s="73">
        <v>358.93252</v>
      </c>
      <c r="F66" s="73">
        <v>378.656</v>
      </c>
      <c r="G66" s="81"/>
      <c r="H66" s="104">
        <f>E66-F66</f>
        <v>-19.723479999999995</v>
      </c>
    </row>
    <row r="67" spans="1:8" ht="15">
      <c r="A67" s="101"/>
      <c r="B67" s="102" t="s">
        <v>115</v>
      </c>
      <c r="C67" s="103">
        <v>332.770047179988</v>
      </c>
      <c r="D67" s="103"/>
      <c r="E67" s="73">
        <v>312.29258</v>
      </c>
      <c r="F67" s="73">
        <v>330.193</v>
      </c>
      <c r="G67" s="81"/>
      <c r="H67" s="104">
        <f>E67-F67</f>
        <v>-17.900419999999997</v>
      </c>
    </row>
    <row r="68" spans="1:8" ht="15">
      <c r="A68" s="101"/>
      <c r="B68" s="102" t="s">
        <v>116</v>
      </c>
      <c r="C68" s="103">
        <v>446.9599729068603</v>
      </c>
      <c r="D68" s="103"/>
      <c r="E68" s="73">
        <v>419.45567</v>
      </c>
      <c r="F68" s="73">
        <v>440.32</v>
      </c>
      <c r="G68" s="81"/>
      <c r="H68" s="104">
        <f>E68-F68</f>
        <v>-20.864329999999995</v>
      </c>
    </row>
    <row r="69" spans="1:8" ht="15.75" thickBot="1">
      <c r="A69" s="105"/>
      <c r="B69" s="106" t="s">
        <v>117</v>
      </c>
      <c r="C69" s="107">
        <v>368.2384762394459</v>
      </c>
      <c r="D69" s="107"/>
      <c r="E69" s="87">
        <v>345.57841</v>
      </c>
      <c r="F69" s="87">
        <v>283.63687</v>
      </c>
      <c r="G69" s="88"/>
      <c r="H69" s="108">
        <f>((19856.36+11316.34)/1000)+((13794.47+45824.02)/1000)</f>
        <v>90.79119</v>
      </c>
    </row>
    <row r="70" spans="1:8" ht="19.5" thickBot="1" thickTop="1">
      <c r="A70" s="109" t="s">
        <v>118</v>
      </c>
      <c r="B70" s="110" t="s">
        <v>119</v>
      </c>
      <c r="C70" s="111">
        <v>7185.289334851212</v>
      </c>
      <c r="D70" s="111"/>
      <c r="E70" s="112">
        <v>7401.502909999999</v>
      </c>
      <c r="F70" s="112">
        <v>7597.01687</v>
      </c>
      <c r="G70" s="112">
        <v>278.2352772</v>
      </c>
      <c r="H70" s="113">
        <f>H25+H64</f>
        <v>-195.51396000000113</v>
      </c>
    </row>
    <row r="71" spans="1:8" ht="38.25" customHeight="1" thickBot="1" thickTop="1">
      <c r="A71" s="109" t="s">
        <v>120</v>
      </c>
      <c r="B71" s="110" t="s">
        <v>121</v>
      </c>
      <c r="C71" s="114">
        <v>14364.183659999999</v>
      </c>
      <c r="D71" s="114"/>
      <c r="E71" s="112">
        <v>220.63682</v>
      </c>
      <c r="F71" s="112">
        <v>227.16412</v>
      </c>
      <c r="G71" s="112">
        <v>14364.183659999999</v>
      </c>
      <c r="H71" s="113">
        <f>E71-F71</f>
        <v>-6.527299999999997</v>
      </c>
    </row>
    <row r="72" spans="1:8" ht="15.75" thickTop="1">
      <c r="A72" s="115"/>
      <c r="B72" s="116" t="s">
        <v>122</v>
      </c>
      <c r="C72" s="103"/>
      <c r="D72" s="103"/>
      <c r="E72" s="81">
        <v>220.63682</v>
      </c>
      <c r="F72" s="81">
        <v>227.16412</v>
      </c>
      <c r="G72" s="117"/>
      <c r="H72" s="104">
        <f>E72-F72</f>
        <v>-6.527299999999997</v>
      </c>
    </row>
    <row r="73" spans="1:8" ht="15">
      <c r="A73" s="115"/>
      <c r="B73" s="116" t="s">
        <v>123</v>
      </c>
      <c r="C73" s="118"/>
      <c r="D73" s="118"/>
      <c r="E73" s="81"/>
      <c r="F73" s="81"/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435.545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2095.30618</v>
      </c>
      <c r="D75" s="114"/>
      <c r="E75" s="112">
        <v>2095.30618</v>
      </c>
      <c r="F75" s="112">
        <v>2089.65314</v>
      </c>
      <c r="G75" s="112"/>
      <c r="H75" s="113">
        <f>E75-F75</f>
        <v>5.653040000000146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3243.6587399999985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1757.1599999999992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1400.6060399999997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85.8927</v>
      </c>
      <c r="H79" s="133"/>
    </row>
    <row r="80" ht="8.25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1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1:H1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D2:E2"/>
    <mergeCell ref="A3:H3"/>
    <mergeCell ref="D4:F4"/>
    <mergeCell ref="A8:H9"/>
    <mergeCell ref="A10:C1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0" r:id="rId1"/>
  <rowBreaks count="1" manualBreakCount="1">
    <brk id="82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tabColor rgb="FFFF0000"/>
  </sheetPr>
  <dimension ref="A1:H104"/>
  <sheetViews>
    <sheetView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28125" style="2" customWidth="1"/>
    <col min="4" max="4" width="10.8515625" style="2" customWidth="1"/>
    <col min="5" max="5" width="18.8515625" style="2" customWidth="1"/>
    <col min="6" max="6" width="23.8515625" style="2" customWidth="1"/>
    <col min="7" max="7" width="21.28125" style="2" customWidth="1"/>
    <col min="8" max="8" width="22.8515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20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48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20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3460.5299999999997</v>
      </c>
      <c r="F19" s="39" t="s">
        <v>20</v>
      </c>
    </row>
    <row r="20" spans="1:6" s="8" customFormat="1" ht="18">
      <c r="A20" s="35"/>
      <c r="B20" s="8" t="s">
        <v>21</v>
      </c>
      <c r="E20" s="146">
        <v>1716.45</v>
      </c>
      <c r="F20" s="8" t="s">
        <v>20</v>
      </c>
    </row>
    <row r="21" spans="1:6" s="8" customFormat="1" ht="18">
      <c r="A21" s="41"/>
      <c r="B21" s="8" t="s">
        <v>22</v>
      </c>
      <c r="E21" s="146">
        <v>1657.21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86.87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3828.222364591633</v>
      </c>
      <c r="D25" s="57">
        <v>0</v>
      </c>
      <c r="E25" s="58">
        <v>3227.061</v>
      </c>
      <c r="F25" s="58">
        <v>3401.3</v>
      </c>
      <c r="G25" s="58">
        <v>256.92478079999995</v>
      </c>
      <c r="H25" s="59">
        <f>E25-F25</f>
        <v>-174.23900000000003</v>
      </c>
    </row>
    <row r="26" spans="1:8" s="30" customFormat="1" ht="18">
      <c r="A26" s="60" t="s">
        <v>36</v>
      </c>
      <c r="B26" s="61" t="s">
        <v>37</v>
      </c>
      <c r="C26" s="62">
        <v>1285.99409</v>
      </c>
      <c r="D26" s="62"/>
      <c r="E26" s="63">
        <v>933.369</v>
      </c>
      <c r="F26" s="63">
        <v>1020.06</v>
      </c>
      <c r="G26" s="63">
        <v>78.1066968</v>
      </c>
      <c r="H26" s="64">
        <f>E26-F26</f>
        <v>-86.69099999999992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2542.228274591633</v>
      </c>
      <c r="D50" s="62">
        <v>0</v>
      </c>
      <c r="E50" s="63">
        <v>2293.692</v>
      </c>
      <c r="F50" s="63">
        <v>2381.2400000000002</v>
      </c>
      <c r="G50" s="63">
        <v>178.81808399999997</v>
      </c>
      <c r="H50" s="64">
        <f aca="true" t="shared" si="0" ref="H50:H62">E50-F50</f>
        <v>-87.54800000000023</v>
      </c>
    </row>
    <row r="51" spans="1:8" ht="15">
      <c r="A51" s="77" t="s">
        <v>84</v>
      </c>
      <c r="B51" s="78" t="s">
        <v>85</v>
      </c>
      <c r="C51" s="79">
        <v>710.0592721597372</v>
      </c>
      <c r="D51" s="80"/>
      <c r="E51" s="73">
        <v>364.193</v>
      </c>
      <c r="F51" s="73">
        <v>378.22</v>
      </c>
      <c r="G51" s="81">
        <v>28.597864800000004</v>
      </c>
      <c r="H51" s="82">
        <f t="shared" si="0"/>
        <v>-14.027000000000044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75.59560754237488</v>
      </c>
      <c r="D53" s="80"/>
      <c r="E53" s="73">
        <v>73.964</v>
      </c>
      <c r="F53" s="73">
        <v>76.87</v>
      </c>
      <c r="G53" s="81">
        <v>5.830316399999999</v>
      </c>
      <c r="H53" s="82">
        <f t="shared" si="0"/>
        <v>-2.906000000000006</v>
      </c>
    </row>
    <row r="54" spans="1:8" ht="15">
      <c r="A54" s="77" t="s">
        <v>90</v>
      </c>
      <c r="B54" s="78" t="s">
        <v>91</v>
      </c>
      <c r="C54" s="79">
        <v>318.304746767795</v>
      </c>
      <c r="D54" s="80"/>
      <c r="E54" s="73">
        <v>304.7</v>
      </c>
      <c r="F54" s="73">
        <v>316.32</v>
      </c>
      <c r="G54" s="81">
        <v>23.321265599999997</v>
      </c>
      <c r="H54" s="82">
        <f t="shared" si="0"/>
        <v>-11.620000000000005</v>
      </c>
    </row>
    <row r="55" spans="1:8" ht="31.5" customHeight="1">
      <c r="A55" s="77" t="s">
        <v>92</v>
      </c>
      <c r="B55" s="78" t="s">
        <v>93</v>
      </c>
      <c r="C55" s="79">
        <v>640.3847586758889</v>
      </c>
      <c r="D55" s="80"/>
      <c r="E55" s="73">
        <v>802.351</v>
      </c>
      <c r="F55" s="73">
        <v>832.98</v>
      </c>
      <c r="G55" s="81">
        <v>60.290031599999985</v>
      </c>
      <c r="H55" s="82">
        <f t="shared" si="0"/>
        <v>-30.62900000000002</v>
      </c>
    </row>
    <row r="56" spans="1:8" ht="15">
      <c r="A56" s="77" t="s">
        <v>94</v>
      </c>
      <c r="B56" s="78" t="s">
        <v>95</v>
      </c>
      <c r="C56" s="79">
        <v>484.32387983363685</v>
      </c>
      <c r="D56" s="80"/>
      <c r="E56" s="73">
        <v>438.157</v>
      </c>
      <c r="F56" s="73">
        <v>454.75</v>
      </c>
      <c r="G56" s="81">
        <v>35.89390319999999</v>
      </c>
      <c r="H56" s="82">
        <f t="shared" si="0"/>
        <v>-16.593000000000018</v>
      </c>
    </row>
    <row r="57" spans="1:8" ht="15">
      <c r="A57" s="77" t="s">
        <v>96</v>
      </c>
      <c r="B57" s="78" t="s">
        <v>97</v>
      </c>
      <c r="C57" s="79">
        <v>12.314170394120746</v>
      </c>
      <c r="D57" s="80"/>
      <c r="E57" s="73">
        <v>17.687</v>
      </c>
      <c r="F57" s="73">
        <v>18.37</v>
      </c>
      <c r="G57" s="81">
        <v>1.4005787999999997</v>
      </c>
      <c r="H57" s="82">
        <f t="shared" si="0"/>
        <v>-0.6829999999999998</v>
      </c>
    </row>
    <row r="58" spans="1:8" s="30" customFormat="1" ht="15.75">
      <c r="A58" s="77" t="s">
        <v>98</v>
      </c>
      <c r="B58" s="78" t="s">
        <v>99</v>
      </c>
      <c r="C58" s="79">
        <v>298.25863525213214</v>
      </c>
      <c r="D58" s="80"/>
      <c r="E58" s="73">
        <v>289.425</v>
      </c>
      <c r="F58" s="73">
        <v>300.33</v>
      </c>
      <c r="G58" s="81">
        <v>23.2561224</v>
      </c>
      <c r="H58" s="82">
        <f t="shared" si="0"/>
        <v>-10.904999999999973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2.9872039659477867</v>
      </c>
      <c r="D61" s="80"/>
      <c r="E61" s="73">
        <v>3.215</v>
      </c>
      <c r="F61" s="73">
        <v>3.4</v>
      </c>
      <c r="G61" s="81">
        <v>0.2280012</v>
      </c>
      <c r="H61" s="82">
        <f t="shared" si="0"/>
        <v>-0.18500000000000005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-187.82739319999996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4668.230672164401</v>
      </c>
      <c r="D64" s="98"/>
      <c r="E64" s="99">
        <v>4111.2511849</v>
      </c>
      <c r="F64" s="99">
        <v>4256.19499</v>
      </c>
      <c r="G64" s="99">
        <v>200.1850536</v>
      </c>
      <c r="H64" s="100">
        <f>E64-F64</f>
        <v>-144.94380509999974</v>
      </c>
    </row>
    <row r="65" spans="1:8" ht="15">
      <c r="A65" s="101"/>
      <c r="B65" s="102" t="s">
        <v>113</v>
      </c>
      <c r="C65" s="103">
        <v>2988.5444520760498</v>
      </c>
      <c r="D65" s="103"/>
      <c r="E65" s="73">
        <v>2534.92679</v>
      </c>
      <c r="F65" s="73">
        <v>2575.041</v>
      </c>
      <c r="G65" s="81">
        <v>200.1850536</v>
      </c>
      <c r="H65" s="104">
        <f>E65-F65</f>
        <v>-40.114210000000185</v>
      </c>
    </row>
    <row r="66" spans="1:8" ht="15">
      <c r="A66" s="101"/>
      <c r="B66" s="102" t="s">
        <v>114</v>
      </c>
      <c r="C66" s="103">
        <v>415.7078074883197</v>
      </c>
      <c r="D66" s="103"/>
      <c r="E66" s="73">
        <v>390.12665</v>
      </c>
      <c r="F66" s="73">
        <v>429.226</v>
      </c>
      <c r="G66" s="81"/>
      <c r="H66" s="104">
        <f>E66-F66</f>
        <v>-39.099350000000015</v>
      </c>
    </row>
    <row r="67" spans="1:8" ht="15">
      <c r="A67" s="101"/>
      <c r="B67" s="102" t="s">
        <v>115</v>
      </c>
      <c r="C67" s="103">
        <v>357.65429387260036</v>
      </c>
      <c r="D67" s="103"/>
      <c r="E67" s="73">
        <v>335.64554</v>
      </c>
      <c r="F67" s="73">
        <v>370.579</v>
      </c>
      <c r="G67" s="81"/>
      <c r="H67" s="104">
        <f>E67-F67</f>
        <v>-34.933460000000025</v>
      </c>
    </row>
    <row r="68" spans="1:8" ht="15">
      <c r="A68" s="101"/>
      <c r="B68" s="102" t="s">
        <v>116</v>
      </c>
      <c r="C68" s="103">
        <v>482.3278546473523</v>
      </c>
      <c r="D68" s="103"/>
      <c r="E68" s="73">
        <v>452.64714</v>
      </c>
      <c r="F68" s="73">
        <v>498.426</v>
      </c>
      <c r="G68" s="81"/>
      <c r="H68" s="104">
        <f>E68-F68</f>
        <v>-45.77886000000001</v>
      </c>
    </row>
    <row r="69" spans="1:8" ht="15.75" thickBot="1">
      <c r="A69" s="105"/>
      <c r="B69" s="106" t="s">
        <v>117</v>
      </c>
      <c r="C69" s="107">
        <v>423.996264080079</v>
      </c>
      <c r="D69" s="107"/>
      <c r="E69" s="87">
        <v>397.9050649</v>
      </c>
      <c r="F69" s="87">
        <v>382.92298999999997</v>
      </c>
      <c r="G69" s="88"/>
      <c r="H69" s="108">
        <f>(-26469.65+51883.95186)/1000</f>
        <v>25.41430186</v>
      </c>
    </row>
    <row r="70" spans="1:8" ht="19.5" thickBot="1" thickTop="1">
      <c r="A70" s="109" t="s">
        <v>118</v>
      </c>
      <c r="B70" s="110" t="s">
        <v>119</v>
      </c>
      <c r="C70" s="111">
        <v>8496.453036756033</v>
      </c>
      <c r="D70" s="111"/>
      <c r="E70" s="112">
        <v>7338.3121849</v>
      </c>
      <c r="F70" s="112">
        <v>7657.49499</v>
      </c>
      <c r="G70" s="112">
        <v>457.10983439999995</v>
      </c>
      <c r="H70" s="113">
        <f>H25+H64</f>
        <v>-319.18280509999977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172.61946999999998</v>
      </c>
      <c r="F71" s="112">
        <v>228.42350000000002</v>
      </c>
      <c r="G71" s="112">
        <v>0</v>
      </c>
      <c r="H71" s="113">
        <f>E71-F71</f>
        <v>-55.80403000000004</v>
      </c>
    </row>
    <row r="72" spans="1:8" ht="15.75" thickTop="1">
      <c r="A72" s="115"/>
      <c r="B72" s="116" t="s">
        <v>122</v>
      </c>
      <c r="C72" s="103"/>
      <c r="D72" s="103"/>
      <c r="E72" s="81">
        <v>159.49388</v>
      </c>
      <c r="F72" s="81">
        <v>216.39170000000001</v>
      </c>
      <c r="G72" s="117"/>
      <c r="H72" s="104">
        <f>E72-F72</f>
        <v>-56.897820000000024</v>
      </c>
    </row>
    <row r="73" spans="1:8" ht="15">
      <c r="A73" s="115"/>
      <c r="B73" s="116" t="s">
        <v>123</v>
      </c>
      <c r="C73" s="118"/>
      <c r="D73" s="118"/>
      <c r="E73" s="81">
        <v>13.12559</v>
      </c>
      <c r="F73" s="81">
        <v>12.0318</v>
      </c>
      <c r="G73" s="119"/>
      <c r="H73" s="104">
        <f>E73-F73</f>
        <v>1.0937900000000003</v>
      </c>
    </row>
    <row r="74" spans="1:8" ht="29.25" thickBot="1">
      <c r="A74" s="120"/>
      <c r="B74" s="121" t="s">
        <v>124</v>
      </c>
      <c r="C74" s="122"/>
      <c r="D74" s="123"/>
      <c r="E74" s="124">
        <v>559.565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172.558</v>
      </c>
      <c r="D75" s="114"/>
      <c r="E75" s="112">
        <v>172.558</v>
      </c>
      <c r="F75" s="112">
        <v>157.79533</v>
      </c>
      <c r="G75" s="112"/>
      <c r="H75" s="113">
        <f>E75-F75</f>
        <v>14.762669999999986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3084.4493749000003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1542.211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1512.2661949000003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29.97217999999998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tabColor rgb="FF00B050"/>
  </sheetPr>
  <dimension ref="A1:H104"/>
  <sheetViews>
    <sheetView zoomScaleSheetLayoutView="80" zoomScalePageLayoutView="0" workbookViewId="0" topLeftCell="A1">
      <selection activeCell="F26" sqref="F26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57421875" style="2" customWidth="1"/>
    <col min="4" max="4" width="10.7109375" style="2" customWidth="1"/>
    <col min="5" max="5" width="18.8515625" style="2" customWidth="1"/>
    <col min="6" max="7" width="23.8515625" style="2" customWidth="1"/>
    <col min="8" max="8" width="29.4218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22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153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22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1666.34</v>
      </c>
      <c r="F19" s="39" t="s">
        <v>20</v>
      </c>
    </row>
    <row r="20" spans="1:6" s="8" customFormat="1" ht="18">
      <c r="A20" s="35"/>
      <c r="B20" s="8" t="s">
        <v>21</v>
      </c>
      <c r="E20" s="40">
        <v>788.94</v>
      </c>
      <c r="F20" s="8" t="s">
        <v>20</v>
      </c>
    </row>
    <row r="21" spans="1:6" s="8" customFormat="1" ht="18">
      <c r="A21" s="41"/>
      <c r="B21" s="8" t="s">
        <v>22</v>
      </c>
      <c r="E21" s="40">
        <v>848.31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40">
        <v>29.09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1685.9000452511978</v>
      </c>
      <c r="D25" s="57">
        <v>0</v>
      </c>
      <c r="E25" s="58">
        <v>1838.7620000000002</v>
      </c>
      <c r="F25" s="58">
        <v>1732.5</v>
      </c>
      <c r="G25" s="58">
        <v>824.9175744</v>
      </c>
      <c r="H25" s="59">
        <f>E25-F25</f>
        <v>106.26200000000017</v>
      </c>
    </row>
    <row r="26" spans="1:8" s="30" customFormat="1" ht="18">
      <c r="A26" s="60" t="s">
        <v>36</v>
      </c>
      <c r="B26" s="61" t="s">
        <v>37</v>
      </c>
      <c r="C26" s="210">
        <v>273.72</v>
      </c>
      <c r="D26" s="211"/>
      <c r="E26" s="63">
        <v>564.641</v>
      </c>
      <c r="F26" s="63">
        <v>519.58</v>
      </c>
      <c r="G26" s="63">
        <v>250.77996240000002</v>
      </c>
      <c r="H26" s="64">
        <f>E26-F26</f>
        <v>45.06099999999992</v>
      </c>
    </row>
    <row r="27" spans="1:8" s="30" customFormat="1" ht="14.25" customHeight="1" hidden="1">
      <c r="A27" s="65"/>
      <c r="B27" s="66" t="s">
        <v>38</v>
      </c>
      <c r="C27" s="287" t="s">
        <v>39</v>
      </c>
      <c r="D27" s="288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289"/>
      <c r="D28" s="290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289"/>
      <c r="D29" s="290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289"/>
      <c r="D30" s="290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289"/>
      <c r="D31" s="290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289"/>
      <c r="D32" s="290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289"/>
      <c r="D33" s="290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289"/>
      <c r="D34" s="290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289"/>
      <c r="D35" s="290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289"/>
      <c r="D36" s="290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289"/>
      <c r="D37" s="290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289"/>
      <c r="D38" s="290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289"/>
      <c r="D39" s="290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289"/>
      <c r="D40" s="290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289"/>
      <c r="D41" s="290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289"/>
      <c r="D42" s="290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289"/>
      <c r="D43" s="290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289"/>
      <c r="D44" s="290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289"/>
      <c r="D45" s="290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289"/>
      <c r="D46" s="290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289"/>
      <c r="D47" s="290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289"/>
      <c r="D48" s="290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289"/>
      <c r="D49" s="290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1412.1800452511977</v>
      </c>
      <c r="D50" s="62">
        <v>0</v>
      </c>
      <c r="E50" s="63">
        <v>1274.121</v>
      </c>
      <c r="F50" s="63">
        <v>1212.9199999999998</v>
      </c>
      <c r="G50" s="63">
        <v>574.137612</v>
      </c>
      <c r="H50" s="64">
        <f aca="true" t="shared" si="0" ref="H50:H62">E50-F50</f>
        <v>61.20100000000025</v>
      </c>
    </row>
    <row r="51" spans="1:8" ht="15">
      <c r="A51" s="77" t="s">
        <v>84</v>
      </c>
      <c r="B51" s="78" t="s">
        <v>85</v>
      </c>
      <c r="C51" s="79">
        <v>394.42971461361327</v>
      </c>
      <c r="D51" s="80"/>
      <c r="E51" s="73">
        <v>202.305</v>
      </c>
      <c r="F51" s="73">
        <v>192.65</v>
      </c>
      <c r="G51" s="81">
        <v>91.82018640000001</v>
      </c>
      <c r="H51" s="82">
        <f t="shared" si="0"/>
        <v>9.655000000000001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41.992335886188066</v>
      </c>
      <c r="D53" s="80"/>
      <c r="E53" s="73">
        <v>41.086</v>
      </c>
      <c r="F53" s="73">
        <v>39.15</v>
      </c>
      <c r="G53" s="81">
        <v>18.7196052</v>
      </c>
      <c r="H53" s="82">
        <f t="shared" si="0"/>
        <v>1.936</v>
      </c>
    </row>
    <row r="54" spans="1:8" ht="15">
      <c r="A54" s="77" t="s">
        <v>90</v>
      </c>
      <c r="B54" s="78" t="s">
        <v>91</v>
      </c>
      <c r="C54" s="79">
        <v>176.81530957802246</v>
      </c>
      <c r="D54" s="80"/>
      <c r="E54" s="73">
        <v>169.258</v>
      </c>
      <c r="F54" s="73">
        <v>161.12</v>
      </c>
      <c r="G54" s="81">
        <v>74.8784208</v>
      </c>
      <c r="H54" s="82">
        <f t="shared" si="0"/>
        <v>8.138000000000005</v>
      </c>
    </row>
    <row r="55" spans="1:8" ht="31.5" customHeight="1">
      <c r="A55" s="77" t="s">
        <v>92</v>
      </c>
      <c r="B55" s="78" t="s">
        <v>93</v>
      </c>
      <c r="C55" s="79">
        <v>355.7265657892464</v>
      </c>
      <c r="D55" s="80"/>
      <c r="E55" s="73">
        <v>445.697</v>
      </c>
      <c r="F55" s="73">
        <v>424.29</v>
      </c>
      <c r="G55" s="81">
        <v>193.5753588</v>
      </c>
      <c r="H55" s="82">
        <f t="shared" si="0"/>
        <v>21.406999999999982</v>
      </c>
    </row>
    <row r="56" spans="1:8" ht="15">
      <c r="A56" s="77" t="s">
        <v>94</v>
      </c>
      <c r="B56" s="78" t="s">
        <v>95</v>
      </c>
      <c r="C56" s="79">
        <v>269.0372577876618</v>
      </c>
      <c r="D56" s="80"/>
      <c r="E56" s="73">
        <v>243.392</v>
      </c>
      <c r="F56" s="73">
        <v>231.64</v>
      </c>
      <c r="G56" s="81">
        <v>115.2458376</v>
      </c>
      <c r="H56" s="82">
        <f t="shared" si="0"/>
        <v>11.75200000000001</v>
      </c>
    </row>
    <row r="57" spans="1:8" ht="27.75" customHeight="1">
      <c r="A57" s="77" t="s">
        <v>96</v>
      </c>
      <c r="B57" s="291" t="s">
        <v>97</v>
      </c>
      <c r="C57" s="79">
        <v>6.840432188739544</v>
      </c>
      <c r="D57" s="80"/>
      <c r="E57" s="73">
        <v>9.825</v>
      </c>
      <c r="F57" s="73">
        <v>9.36</v>
      </c>
      <c r="G57" s="81">
        <v>4.4968884000000005</v>
      </c>
      <c r="H57" s="82">
        <f t="shared" si="0"/>
        <v>0.46499999999999986</v>
      </c>
    </row>
    <row r="58" spans="1:8" s="30" customFormat="1" ht="15.75">
      <c r="A58" s="77" t="s">
        <v>98</v>
      </c>
      <c r="B58" s="78" t="s">
        <v>99</v>
      </c>
      <c r="C58" s="79">
        <v>165.67897488729648</v>
      </c>
      <c r="D58" s="80"/>
      <c r="E58" s="73">
        <v>160.772</v>
      </c>
      <c r="F58" s="73">
        <v>152.98</v>
      </c>
      <c r="G58" s="81">
        <v>74.66926320000002</v>
      </c>
      <c r="H58" s="82">
        <f t="shared" si="0"/>
        <v>7.792000000000002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1.6594545204300923</v>
      </c>
      <c r="D61" s="80"/>
      <c r="E61" s="73">
        <v>1.786</v>
      </c>
      <c r="F61" s="73">
        <v>1.73</v>
      </c>
      <c r="G61" s="81">
        <v>0.7320516000000001</v>
      </c>
      <c r="H61" s="82">
        <f t="shared" si="0"/>
        <v>0.05600000000000005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496.63996240000006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2600.804936466347</v>
      </c>
      <c r="D64" s="98"/>
      <c r="E64" s="99">
        <v>2363.866349</v>
      </c>
      <c r="F64" s="99">
        <v>2213.7074000000002</v>
      </c>
      <c r="G64" s="99">
        <v>642.7413048000001</v>
      </c>
      <c r="H64" s="100">
        <f>E64-F64</f>
        <v>150.15894899999967</v>
      </c>
    </row>
    <row r="65" spans="1:8" ht="15">
      <c r="A65" s="101"/>
      <c r="B65" s="102" t="s">
        <v>113</v>
      </c>
      <c r="C65" s="103">
        <v>1584.9805846649629</v>
      </c>
      <c r="D65" s="103"/>
      <c r="E65" s="73">
        <v>1410.55216</v>
      </c>
      <c r="F65" s="73">
        <v>1276.588</v>
      </c>
      <c r="G65" s="81">
        <v>642.7413048000001</v>
      </c>
      <c r="H65" s="104">
        <f>E65-F65</f>
        <v>133.96416</v>
      </c>
    </row>
    <row r="66" spans="1:8" ht="15">
      <c r="A66" s="101"/>
      <c r="B66" s="102" t="s">
        <v>114</v>
      </c>
      <c r="C66" s="103">
        <v>268.10630389797575</v>
      </c>
      <c r="D66" s="103"/>
      <c r="E66" s="73">
        <v>251.60801</v>
      </c>
      <c r="F66" s="73">
        <v>258.69</v>
      </c>
      <c r="G66" s="81"/>
      <c r="H66" s="104">
        <f>E66-F66</f>
        <v>-7.0819899999999905</v>
      </c>
    </row>
    <row r="67" spans="1:8" ht="15">
      <c r="A67" s="101"/>
      <c r="B67" s="102" t="s">
        <v>115</v>
      </c>
      <c r="C67" s="103">
        <v>234.43041104436563</v>
      </c>
      <c r="D67" s="103"/>
      <c r="E67" s="73">
        <v>220.00441</v>
      </c>
      <c r="F67" s="73">
        <v>224.66</v>
      </c>
      <c r="G67" s="81"/>
      <c r="H67" s="104">
        <f>E67-F67</f>
        <v>-4.6555899999999895</v>
      </c>
    </row>
    <row r="68" spans="1:8" ht="15">
      <c r="A68" s="101"/>
      <c r="B68" s="102" t="s">
        <v>116</v>
      </c>
      <c r="C68" s="103">
        <v>314.7814328021616</v>
      </c>
      <c r="D68" s="103"/>
      <c r="E68" s="73">
        <v>295.41092</v>
      </c>
      <c r="F68" s="73">
        <v>301.288</v>
      </c>
      <c r="G68" s="81"/>
      <c r="H68" s="104">
        <f>E68-F68</f>
        <v>-5.877080000000035</v>
      </c>
    </row>
    <row r="69" spans="1:8" ht="15.75" thickBot="1">
      <c r="A69" s="105"/>
      <c r="B69" s="106" t="s">
        <v>117</v>
      </c>
      <c r="C69" s="107">
        <v>198.50620405688161</v>
      </c>
      <c r="D69" s="107"/>
      <c r="E69" s="87">
        <v>186.29084899999998</v>
      </c>
      <c r="F69" s="87">
        <v>152.4814</v>
      </c>
      <c r="G69" s="88"/>
      <c r="H69" s="88">
        <f>(26530.31+22221.009)/1000</f>
        <v>48.751319</v>
      </c>
    </row>
    <row r="70" spans="1:8" ht="19.5" thickBot="1" thickTop="1">
      <c r="A70" s="109" t="s">
        <v>118</v>
      </c>
      <c r="B70" s="110" t="s">
        <v>119</v>
      </c>
      <c r="C70" s="111">
        <v>4286.704981717545</v>
      </c>
      <c r="D70" s="111"/>
      <c r="E70" s="112">
        <v>4202.6283490000005</v>
      </c>
      <c r="F70" s="112">
        <v>3946.2074000000002</v>
      </c>
      <c r="G70" s="112">
        <v>1467.6588792000002</v>
      </c>
      <c r="H70" s="113">
        <f>H25+H64</f>
        <v>256.42094899999984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126.38304000000001</v>
      </c>
      <c r="F71" s="112">
        <v>121.27703</v>
      </c>
      <c r="G71" s="112">
        <v>0</v>
      </c>
      <c r="H71" s="113">
        <f>E71-F71</f>
        <v>5.106010000000012</v>
      </c>
    </row>
    <row r="72" spans="1:8" ht="15.75" thickTop="1">
      <c r="A72" s="115"/>
      <c r="B72" s="116" t="s">
        <v>122</v>
      </c>
      <c r="C72" s="103"/>
      <c r="D72" s="103"/>
      <c r="E72" s="81">
        <v>113.95587</v>
      </c>
      <c r="F72" s="81">
        <v>108.84983</v>
      </c>
      <c r="G72" s="117"/>
      <c r="H72" s="104">
        <f>E72-F72</f>
        <v>5.106040000000007</v>
      </c>
    </row>
    <row r="73" spans="1:8" ht="15">
      <c r="A73" s="115"/>
      <c r="B73" s="116" t="s">
        <v>123</v>
      </c>
      <c r="C73" s="118"/>
      <c r="D73" s="118"/>
      <c r="E73" s="81">
        <v>12.42717</v>
      </c>
      <c r="F73" s="81">
        <v>12.4272</v>
      </c>
      <c r="G73" s="119"/>
      <c r="H73" s="104">
        <f>E73-F73</f>
        <v>-2.999999999886427E-05</v>
      </c>
    </row>
    <row r="74" spans="1:8" ht="29.25" thickBot="1">
      <c r="A74" s="120"/>
      <c r="B74" s="121" t="s">
        <v>124</v>
      </c>
      <c r="C74" s="122"/>
      <c r="D74" s="123"/>
      <c r="E74" s="124">
        <v>455.528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163.37637</v>
      </c>
      <c r="D75" s="114"/>
      <c r="E75" s="112">
        <v>163.37637</v>
      </c>
      <c r="F75" s="112">
        <v>159.72821</v>
      </c>
      <c r="G75" s="112"/>
      <c r="H75" s="113">
        <f>E75-F75</f>
        <v>3.6481600000000185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1927.8669889999999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895.2020000000002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998.4689489999996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34.19604000000001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4">
    <tabColor rgb="FF92D050"/>
  </sheetPr>
  <dimension ref="A1:H104"/>
  <sheetViews>
    <sheetView zoomScaleSheetLayoutView="80" zoomScalePageLayoutView="0" workbookViewId="0" topLeftCell="A1">
      <selection activeCell="G79" sqref="G79:H79"/>
    </sheetView>
  </sheetViews>
  <sheetFormatPr defaultColWidth="9.140625" defaultRowHeight="15"/>
  <cols>
    <col min="1" max="1" width="8.57421875" style="187" customWidth="1"/>
    <col min="2" max="2" width="54.8515625" style="140" customWidth="1"/>
    <col min="3" max="3" width="15.00390625" style="140" customWidth="1"/>
    <col min="4" max="4" width="9.57421875" style="140" customWidth="1"/>
    <col min="5" max="5" width="19.7109375" style="140" customWidth="1"/>
    <col min="6" max="6" width="25.57421875" style="140" customWidth="1"/>
    <col min="7" max="7" width="23.57421875" style="140" customWidth="1"/>
    <col min="8" max="8" width="21.8515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23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23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941.4000000000001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629.01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296.94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15.45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3060.1751398192064</v>
      </c>
      <c r="D25" s="57">
        <v>0</v>
      </c>
      <c r="E25" s="58">
        <v>3723.5569999999993</v>
      </c>
      <c r="F25" s="58">
        <v>3556.1300000000006</v>
      </c>
      <c r="G25" s="157">
        <v>111.58732320000001</v>
      </c>
      <c r="H25" s="59">
        <f>E25-F25</f>
        <v>167.42699999999877</v>
      </c>
    </row>
    <row r="26" spans="1:8" s="143" customFormat="1" ht="18">
      <c r="A26" s="60" t="s">
        <v>36</v>
      </c>
      <c r="B26" s="61" t="s">
        <v>37</v>
      </c>
      <c r="C26" s="62">
        <v>178.64665</v>
      </c>
      <c r="D26" s="62"/>
      <c r="E26" s="63">
        <v>652.776</v>
      </c>
      <c r="F26" s="63">
        <v>623.39</v>
      </c>
      <c r="G26" s="63">
        <v>19.3681008</v>
      </c>
      <c r="H26" s="64">
        <f>E26-F26</f>
        <v>29.385999999999967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2881.5284898192062</v>
      </c>
      <c r="D50" s="62">
        <v>0</v>
      </c>
      <c r="E50" s="63">
        <v>3070.7809999999995</v>
      </c>
      <c r="F50" s="63">
        <v>2932.7400000000007</v>
      </c>
      <c r="G50" s="63">
        <v>92.21922240000002</v>
      </c>
      <c r="H50" s="64">
        <f aca="true" t="shared" si="0" ref="H50:H62">E50-F50</f>
        <v>138.0409999999988</v>
      </c>
    </row>
    <row r="51" spans="1:8" ht="15">
      <c r="A51" s="77" t="s">
        <v>84</v>
      </c>
      <c r="B51" s="78" t="s">
        <v>85</v>
      </c>
      <c r="C51" s="79">
        <v>395.61121980160095</v>
      </c>
      <c r="D51" s="80"/>
      <c r="E51" s="73">
        <v>202.911</v>
      </c>
      <c r="F51" s="73">
        <v>198.43</v>
      </c>
      <c r="G51" s="81">
        <v>6.2152224</v>
      </c>
      <c r="H51" s="82">
        <f t="shared" si="0"/>
        <v>4.4809999999999945</v>
      </c>
    </row>
    <row r="52" spans="1:8" s="158" customFormat="1" ht="15">
      <c r="A52" s="77" t="s">
        <v>86</v>
      </c>
      <c r="B52" s="78" t="s">
        <v>87</v>
      </c>
      <c r="C52" s="79">
        <v>435.0849628817507</v>
      </c>
      <c r="D52" s="80"/>
      <c r="E52" s="73">
        <v>553.33</v>
      </c>
      <c r="F52" s="73">
        <v>528.44</v>
      </c>
      <c r="G52" s="81">
        <v>17.636553600000003</v>
      </c>
      <c r="H52" s="82">
        <f t="shared" si="0"/>
        <v>24.889999999999986</v>
      </c>
    </row>
    <row r="53" spans="1:8" s="159" customFormat="1" ht="16.5">
      <c r="A53" s="77" t="s">
        <v>88</v>
      </c>
      <c r="B53" s="78" t="s">
        <v>89</v>
      </c>
      <c r="C53" s="79">
        <v>86.77898239674545</v>
      </c>
      <c r="D53" s="80"/>
      <c r="E53" s="73">
        <v>84.906</v>
      </c>
      <c r="F53" s="73">
        <v>82.86</v>
      </c>
      <c r="G53" s="81">
        <v>2.6259888</v>
      </c>
      <c r="H53" s="82">
        <f t="shared" si="0"/>
        <v>2.0460000000000065</v>
      </c>
    </row>
    <row r="54" spans="1:8" s="160" customFormat="1" ht="15">
      <c r="A54" s="77" t="s">
        <v>90</v>
      </c>
      <c r="B54" s="78" t="s">
        <v>91</v>
      </c>
      <c r="C54" s="79">
        <v>284.8832706819989</v>
      </c>
      <c r="D54" s="80"/>
      <c r="E54" s="73">
        <v>272.707</v>
      </c>
      <c r="F54" s="73">
        <v>266.71</v>
      </c>
      <c r="G54" s="81">
        <v>8.210515200000001</v>
      </c>
      <c r="H54" s="82">
        <f t="shared" si="0"/>
        <v>5.997000000000014</v>
      </c>
    </row>
    <row r="55" spans="1:8" ht="33.75" customHeight="1">
      <c r="A55" s="77" t="s">
        <v>92</v>
      </c>
      <c r="B55" s="78" t="s">
        <v>93</v>
      </c>
      <c r="C55" s="79">
        <v>1080.8214281006583</v>
      </c>
      <c r="D55" s="80"/>
      <c r="E55" s="73">
        <v>1354.183</v>
      </c>
      <c r="F55" s="73">
        <v>1288.03</v>
      </c>
      <c r="G55" s="81">
        <v>41.408059200000004</v>
      </c>
      <c r="H55" s="82">
        <f t="shared" si="0"/>
        <v>66.15300000000002</v>
      </c>
    </row>
    <row r="56" spans="1:8" ht="15">
      <c r="A56" s="77" t="s">
        <v>94</v>
      </c>
      <c r="B56" s="78" t="s">
        <v>95</v>
      </c>
      <c r="C56" s="79">
        <v>318.14425068173665</v>
      </c>
      <c r="D56" s="80"/>
      <c r="E56" s="73">
        <v>287.818</v>
      </c>
      <c r="F56" s="73">
        <v>262.09</v>
      </c>
      <c r="G56" s="81">
        <v>9.254030400000001</v>
      </c>
      <c r="H56" s="82">
        <f t="shared" si="0"/>
        <v>25.72800000000001</v>
      </c>
    </row>
    <row r="57" spans="1:8" ht="17.25" customHeight="1">
      <c r="A57" s="77" t="s">
        <v>96</v>
      </c>
      <c r="B57" s="78" t="s">
        <v>97</v>
      </c>
      <c r="C57" s="79">
        <v>31.059391386448834</v>
      </c>
      <c r="D57" s="80"/>
      <c r="E57" s="73">
        <v>44.611</v>
      </c>
      <c r="F57" s="73">
        <v>43.74</v>
      </c>
      <c r="G57" s="81">
        <v>1.3989984</v>
      </c>
      <c r="H57" s="82">
        <f t="shared" si="0"/>
        <v>0.8709999999999951</v>
      </c>
    </row>
    <row r="58" spans="1:8" ht="15">
      <c r="A58" s="77" t="s">
        <v>98</v>
      </c>
      <c r="B58" s="78" t="s">
        <v>99</v>
      </c>
      <c r="C58" s="79">
        <v>180.92759897238173</v>
      </c>
      <c r="D58" s="80"/>
      <c r="E58" s="73">
        <v>175.569</v>
      </c>
      <c r="F58" s="73">
        <v>171.76</v>
      </c>
      <c r="G58" s="81">
        <v>5.389584</v>
      </c>
      <c r="H58" s="82">
        <f t="shared" si="0"/>
        <v>3.8089999999999975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2.674081808397428</v>
      </c>
      <c r="D61" s="80"/>
      <c r="E61" s="73">
        <v>2.878</v>
      </c>
      <c r="F61" s="73">
        <v>2.84</v>
      </c>
      <c r="G61" s="81">
        <v>0.08027040000000002</v>
      </c>
      <c r="H61" s="82">
        <f t="shared" si="0"/>
        <v>0.038000000000000256</v>
      </c>
    </row>
    <row r="62" spans="1:8" s="143" customFormat="1" ht="15.75" thickBot="1">
      <c r="A62" s="83" t="s">
        <v>106</v>
      </c>
      <c r="B62" s="84" t="s">
        <v>107</v>
      </c>
      <c r="C62" s="85">
        <v>65.5433031074875</v>
      </c>
      <c r="D62" s="86"/>
      <c r="E62" s="87">
        <v>91.868</v>
      </c>
      <c r="F62" s="87">
        <v>87.84</v>
      </c>
      <c r="G62" s="88">
        <v>0</v>
      </c>
      <c r="H62" s="89">
        <f t="shared" si="0"/>
        <v>4.027999999999992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464.11145079999994</v>
      </c>
      <c r="D63" s="93"/>
      <c r="E63" s="94" t="s">
        <v>110</v>
      </c>
      <c r="F63" s="94"/>
      <c r="G63" s="163">
        <v>9.563954658898037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4297.408639961021</v>
      </c>
      <c r="D64" s="111"/>
      <c r="E64" s="167">
        <v>3978.2564641</v>
      </c>
      <c r="F64" s="167">
        <v>3747.08994</v>
      </c>
      <c r="G64" s="167">
        <v>70.4774112</v>
      </c>
      <c r="H64" s="168">
        <f>E64-F64</f>
        <v>231.16652410000006</v>
      </c>
    </row>
    <row r="65" spans="1:8" ht="15.75" thickTop="1">
      <c r="A65" s="169"/>
      <c r="B65" s="170" t="s">
        <v>113</v>
      </c>
      <c r="C65" s="171">
        <v>2528.637623990024</v>
      </c>
      <c r="D65" s="171"/>
      <c r="E65" s="172">
        <v>2318.32923</v>
      </c>
      <c r="F65" s="172">
        <v>2203.514</v>
      </c>
      <c r="G65" s="163">
        <v>70.4774112</v>
      </c>
      <c r="H65" s="173">
        <f>E65-F65</f>
        <v>114.8152299999997</v>
      </c>
    </row>
    <row r="66" spans="1:8" ht="15">
      <c r="A66" s="101"/>
      <c r="B66" s="116" t="s">
        <v>114</v>
      </c>
      <c r="C66" s="103">
        <v>441.8843685404965</v>
      </c>
      <c r="D66" s="103"/>
      <c r="E66" s="73">
        <v>414.6924</v>
      </c>
      <c r="F66" s="73">
        <v>404.042</v>
      </c>
      <c r="G66" s="81"/>
      <c r="H66" s="104">
        <f>E66-F66</f>
        <v>10.650400000000047</v>
      </c>
    </row>
    <row r="67" spans="1:8" ht="15">
      <c r="A67" s="101"/>
      <c r="B67" s="116" t="s">
        <v>115</v>
      </c>
      <c r="C67" s="103">
        <v>372.28552713924654</v>
      </c>
      <c r="D67" s="103"/>
      <c r="E67" s="73">
        <v>349.37642</v>
      </c>
      <c r="F67" s="73">
        <v>339.389</v>
      </c>
      <c r="G67" s="81"/>
      <c r="H67" s="104">
        <f>E67-F67</f>
        <v>9.987419999999986</v>
      </c>
    </row>
    <row r="68" spans="1:8" ht="15">
      <c r="A68" s="101"/>
      <c r="B68" s="116" t="s">
        <v>116</v>
      </c>
      <c r="C68" s="103">
        <v>505.34724480200373</v>
      </c>
      <c r="D68" s="103"/>
      <c r="E68" s="73">
        <v>474.25</v>
      </c>
      <c r="F68" s="73">
        <v>462.635</v>
      </c>
      <c r="G68" s="81"/>
      <c r="H68" s="104">
        <f>E68-F68</f>
        <v>11.615000000000009</v>
      </c>
    </row>
    <row r="69" spans="1:8" ht="15.75" thickBot="1">
      <c r="A69" s="105"/>
      <c r="B69" s="174" t="s">
        <v>117</v>
      </c>
      <c r="C69" s="107">
        <v>449.253875489251</v>
      </c>
      <c r="D69" s="107"/>
      <c r="E69" s="87">
        <v>421.60841410000006</v>
      </c>
      <c r="F69" s="87">
        <v>337.50994000000003</v>
      </c>
      <c r="G69" s="88"/>
      <c r="H69" s="108">
        <f>(24861.77+23997.18)/1000</f>
        <v>48.85895</v>
      </c>
    </row>
    <row r="70" spans="1:8" ht="20.25" customHeight="1" thickBot="1" thickTop="1">
      <c r="A70" s="175" t="s">
        <v>118</v>
      </c>
      <c r="B70" s="166" t="s">
        <v>119</v>
      </c>
      <c r="C70" s="111">
        <v>7357.583779780228</v>
      </c>
      <c r="D70" s="111"/>
      <c r="E70" s="166">
        <v>7701.8134641</v>
      </c>
      <c r="F70" s="166">
        <v>7303.219940000001</v>
      </c>
      <c r="G70" s="166">
        <v>182.06473440000002</v>
      </c>
      <c r="H70" s="168">
        <f>H25+H64</f>
        <v>398.59352409999883</v>
      </c>
    </row>
    <row r="71" spans="1:8" ht="19.5" thickBot="1" thickTop="1">
      <c r="A71" s="165" t="s">
        <v>120</v>
      </c>
      <c r="B71" s="166" t="s">
        <v>121</v>
      </c>
      <c r="C71" s="111">
        <v>1467.97546</v>
      </c>
      <c r="D71" s="111"/>
      <c r="E71" s="166">
        <v>202.04466</v>
      </c>
      <c r="F71" s="166">
        <v>194.80338</v>
      </c>
      <c r="G71" s="166">
        <v>0</v>
      </c>
      <c r="H71" s="168">
        <f>E71-F71</f>
        <v>7.241279999999989</v>
      </c>
    </row>
    <row r="72" spans="1:8" ht="15.75" thickTop="1">
      <c r="A72" s="176"/>
      <c r="B72" s="170" t="s">
        <v>122</v>
      </c>
      <c r="C72" s="177"/>
      <c r="D72" s="177"/>
      <c r="E72" s="117">
        <v>195.12559</v>
      </c>
      <c r="F72" s="117">
        <v>188.43868</v>
      </c>
      <c r="G72" s="117"/>
      <c r="H72" s="104">
        <f>E72-F72</f>
        <v>6.686909999999983</v>
      </c>
    </row>
    <row r="73" spans="1:8" ht="15">
      <c r="A73" s="115"/>
      <c r="B73" s="116" t="s">
        <v>123</v>
      </c>
      <c r="C73" s="118"/>
      <c r="D73" s="118"/>
      <c r="E73" s="119">
        <v>6.91907</v>
      </c>
      <c r="F73" s="119">
        <v>6.3647</v>
      </c>
      <c r="G73" s="119"/>
      <c r="H73" s="179">
        <f>E73-F73</f>
        <v>0.5543699999999996</v>
      </c>
    </row>
    <row r="74" spans="1:8" ht="29.25" thickBot="1">
      <c r="A74" s="120"/>
      <c r="B74" s="121" t="s">
        <v>124</v>
      </c>
      <c r="C74" s="122"/>
      <c r="D74" s="123"/>
      <c r="E74" s="124">
        <v>637.415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112.21785</v>
      </c>
      <c r="D75" s="114"/>
      <c r="E75" s="180">
        <v>112.21785</v>
      </c>
      <c r="F75" s="180">
        <v>98.00493</v>
      </c>
      <c r="G75" s="180"/>
      <c r="H75" s="168">
        <f>E75-F75</f>
        <v>14.212919999999997</v>
      </c>
    </row>
    <row r="76" spans="1:8" ht="20.2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1346.6804340999988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796.4369999999988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528.1065241000001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22.136909999999983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5">
    <tabColor theme="7" tint="0.39998000860214233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7.7109375" style="187" customWidth="1"/>
    <col min="2" max="2" width="54.00390625" style="140" customWidth="1"/>
    <col min="3" max="3" width="15.00390625" style="140" customWidth="1"/>
    <col min="4" max="4" width="8.8515625" style="140" customWidth="1"/>
    <col min="5" max="5" width="19.140625" style="140" customWidth="1"/>
    <col min="6" max="6" width="27.421875" style="140" customWidth="1"/>
    <col min="7" max="7" width="22.57421875" style="140" customWidth="1"/>
    <col min="8" max="8" width="21.0039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25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25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4106.48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2067.73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1964.56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74.19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5099.9469778217535</v>
      </c>
      <c r="D25" s="57">
        <v>0</v>
      </c>
      <c r="E25" s="58">
        <v>6256.806</v>
      </c>
      <c r="F25" s="58">
        <v>6672.26</v>
      </c>
      <c r="G25" s="157">
        <v>75.52812960000001</v>
      </c>
      <c r="H25" s="59">
        <f>E25-F25</f>
        <v>-415.45400000000063</v>
      </c>
    </row>
    <row r="26" spans="1:8" s="143" customFormat="1" ht="18">
      <c r="A26" s="60" t="s">
        <v>36</v>
      </c>
      <c r="B26" s="61" t="s">
        <v>37</v>
      </c>
      <c r="C26" s="62">
        <v>198.21506</v>
      </c>
      <c r="D26" s="62"/>
      <c r="E26" s="63">
        <v>1059.298</v>
      </c>
      <c r="F26" s="63">
        <v>1160.97</v>
      </c>
      <c r="G26" s="63">
        <v>13.109342400000003</v>
      </c>
      <c r="H26" s="64">
        <f>E26-F26</f>
        <v>-101.67200000000003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4901.731917821753</v>
      </c>
      <c r="D50" s="62">
        <v>0</v>
      </c>
      <c r="E50" s="63">
        <v>5197.508</v>
      </c>
      <c r="F50" s="63">
        <v>5511.29</v>
      </c>
      <c r="G50" s="63">
        <v>62.418787200000004</v>
      </c>
      <c r="H50" s="64">
        <f aca="true" t="shared" si="0" ref="H50:H62">E50-F50</f>
        <v>-313.78200000000015</v>
      </c>
    </row>
    <row r="51" spans="1:8" ht="15">
      <c r="A51" s="77" t="s">
        <v>84</v>
      </c>
      <c r="B51" s="78" t="s">
        <v>85</v>
      </c>
      <c r="C51" s="79">
        <v>683.6606248901774</v>
      </c>
      <c r="D51" s="80"/>
      <c r="E51" s="73">
        <v>350.653</v>
      </c>
      <c r="F51" s="73">
        <v>372.31</v>
      </c>
      <c r="G51" s="81">
        <v>4.206787200000001</v>
      </c>
      <c r="H51" s="82">
        <f t="shared" si="0"/>
        <v>-21.656999999999982</v>
      </c>
    </row>
    <row r="52" spans="1:8" s="158" customFormat="1" ht="15">
      <c r="A52" s="77" t="s">
        <v>86</v>
      </c>
      <c r="B52" s="78" t="s">
        <v>87</v>
      </c>
      <c r="C52" s="79">
        <v>751.873019015863</v>
      </c>
      <c r="D52" s="80"/>
      <c r="E52" s="73">
        <v>956.213</v>
      </c>
      <c r="F52" s="73">
        <v>1014.85</v>
      </c>
      <c r="G52" s="81">
        <v>11.937340800000003</v>
      </c>
      <c r="H52" s="82">
        <f t="shared" si="0"/>
        <v>-58.63700000000006</v>
      </c>
    </row>
    <row r="53" spans="1:8" s="159" customFormat="1" ht="16.5">
      <c r="A53" s="77" t="s">
        <v>88</v>
      </c>
      <c r="B53" s="78" t="s">
        <v>89</v>
      </c>
      <c r="C53" s="79">
        <v>149.96372164661236</v>
      </c>
      <c r="D53" s="80"/>
      <c r="E53" s="73">
        <v>146.727</v>
      </c>
      <c r="F53" s="73">
        <v>155.46</v>
      </c>
      <c r="G53" s="81">
        <v>1.7774064000000003</v>
      </c>
      <c r="H53" s="82">
        <f t="shared" si="0"/>
        <v>-8.733000000000004</v>
      </c>
    </row>
    <row r="54" spans="1:8" s="160" customFormat="1" ht="15">
      <c r="A54" s="77" t="s">
        <v>90</v>
      </c>
      <c r="B54" s="78" t="s">
        <v>91</v>
      </c>
      <c r="C54" s="79">
        <v>492.30890415168506</v>
      </c>
      <c r="D54" s="80"/>
      <c r="E54" s="73">
        <v>471.267</v>
      </c>
      <c r="F54" s="73">
        <v>500.42</v>
      </c>
      <c r="G54" s="81">
        <v>5.557305600000001</v>
      </c>
      <c r="H54" s="82">
        <f t="shared" si="0"/>
        <v>-29.15300000000002</v>
      </c>
    </row>
    <row r="55" spans="1:8" ht="30" customHeight="1">
      <c r="A55" s="77" t="s">
        <v>92</v>
      </c>
      <c r="B55" s="78" t="s">
        <v>93</v>
      </c>
      <c r="C55" s="79">
        <v>1867.7765748834968</v>
      </c>
      <c r="D55" s="80"/>
      <c r="E55" s="73">
        <v>2340.175</v>
      </c>
      <c r="F55" s="73">
        <v>2483.42</v>
      </c>
      <c r="G55" s="81">
        <v>28.027137600000007</v>
      </c>
      <c r="H55" s="82">
        <f t="shared" si="0"/>
        <v>-143.2449999999999</v>
      </c>
    </row>
    <row r="56" spans="1:8" ht="15">
      <c r="A56" s="77" t="s">
        <v>94</v>
      </c>
      <c r="B56" s="78" t="s">
        <v>95</v>
      </c>
      <c r="C56" s="79">
        <v>549.7869744216213</v>
      </c>
      <c r="D56" s="80"/>
      <c r="E56" s="73">
        <v>497.38</v>
      </c>
      <c r="F56" s="73">
        <v>527.78</v>
      </c>
      <c r="G56" s="81">
        <v>6.2636112000000015</v>
      </c>
      <c r="H56" s="82">
        <f t="shared" si="0"/>
        <v>-30.399999999999977</v>
      </c>
    </row>
    <row r="57" spans="1:8" ht="17.25" customHeight="1">
      <c r="A57" s="77" t="s">
        <v>96</v>
      </c>
      <c r="B57" s="78" t="s">
        <v>97</v>
      </c>
      <c r="C57" s="79">
        <v>53.67493935457368</v>
      </c>
      <c r="D57" s="80"/>
      <c r="E57" s="73">
        <v>77.094</v>
      </c>
      <c r="F57" s="73">
        <v>82.07</v>
      </c>
      <c r="G57" s="81">
        <v>0.9469152000000002</v>
      </c>
      <c r="H57" s="82">
        <f t="shared" si="0"/>
        <v>-4.975999999999999</v>
      </c>
    </row>
    <row r="58" spans="1:8" ht="15">
      <c r="A58" s="77" t="s">
        <v>98</v>
      </c>
      <c r="B58" s="78" t="s">
        <v>99</v>
      </c>
      <c r="C58" s="79">
        <v>312.6622318485528</v>
      </c>
      <c r="D58" s="80"/>
      <c r="E58" s="73">
        <v>303.402</v>
      </c>
      <c r="F58" s="73">
        <v>322.27</v>
      </c>
      <c r="G58" s="81">
        <v>3.6479519999999996</v>
      </c>
      <c r="H58" s="82">
        <f t="shared" si="0"/>
        <v>-18.867999999999995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4.620642402071025</v>
      </c>
      <c r="D61" s="80"/>
      <c r="E61" s="73">
        <v>4.973</v>
      </c>
      <c r="F61" s="73">
        <v>5.34</v>
      </c>
      <c r="G61" s="81">
        <v>0.05433120000000002</v>
      </c>
      <c r="H61" s="82">
        <f t="shared" si="0"/>
        <v>-0.367</v>
      </c>
    </row>
    <row r="62" spans="1:8" s="143" customFormat="1" ht="15.75" thickBot="1">
      <c r="A62" s="83" t="s">
        <v>106</v>
      </c>
      <c r="B62" s="84" t="s">
        <v>107</v>
      </c>
      <c r="C62" s="85">
        <v>35.40428520710106</v>
      </c>
      <c r="D62" s="86"/>
      <c r="E62" s="87">
        <v>49.624</v>
      </c>
      <c r="F62" s="87">
        <v>47.37</v>
      </c>
      <c r="G62" s="88">
        <v>0</v>
      </c>
      <c r="H62" s="89">
        <f t="shared" si="0"/>
        <v>2.254000000000005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975.8642824000001</v>
      </c>
      <c r="D63" s="93"/>
      <c r="E63" s="94" t="s">
        <v>110</v>
      </c>
      <c r="F63" s="94"/>
      <c r="G63" s="163">
        <v>6.473384128689045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7875.551878168248</v>
      </c>
      <c r="D64" s="111"/>
      <c r="E64" s="167">
        <v>7462.893174399999</v>
      </c>
      <c r="F64" s="167">
        <v>7507.37012</v>
      </c>
      <c r="G64" s="167">
        <v>47.70279360000001</v>
      </c>
      <c r="H64" s="168">
        <f>E64-F64</f>
        <v>-44.47694560000036</v>
      </c>
    </row>
    <row r="65" spans="1:8" ht="15.75" thickTop="1">
      <c r="A65" s="169"/>
      <c r="B65" s="170" t="s">
        <v>113</v>
      </c>
      <c r="C65" s="171">
        <v>4095.9094348556664</v>
      </c>
      <c r="D65" s="171"/>
      <c r="E65" s="172">
        <v>3915.83628</v>
      </c>
      <c r="F65" s="172">
        <v>4070.763</v>
      </c>
      <c r="G65" s="163">
        <v>47.70279360000001</v>
      </c>
      <c r="H65" s="173">
        <f>E65-F65</f>
        <v>-154.92671999999993</v>
      </c>
    </row>
    <row r="66" spans="1:8" ht="15">
      <c r="A66" s="101"/>
      <c r="B66" s="116" t="s">
        <v>114</v>
      </c>
      <c r="C66" s="103">
        <v>926.3241431146971</v>
      </c>
      <c r="D66" s="103"/>
      <c r="E66" s="73">
        <v>869.3215</v>
      </c>
      <c r="F66" s="73">
        <v>930.367</v>
      </c>
      <c r="G66" s="81"/>
      <c r="H66" s="104">
        <f>E66-F66</f>
        <v>-61.04549999999995</v>
      </c>
    </row>
    <row r="67" spans="1:8" ht="15">
      <c r="A67" s="101"/>
      <c r="B67" s="116" t="s">
        <v>115</v>
      </c>
      <c r="C67" s="103">
        <v>808.6898856489674</v>
      </c>
      <c r="D67" s="103"/>
      <c r="E67" s="73">
        <v>758.92603</v>
      </c>
      <c r="F67" s="73">
        <v>809.161</v>
      </c>
      <c r="G67" s="81"/>
      <c r="H67" s="104">
        <f>E67-F67</f>
        <v>-50.234969999999976</v>
      </c>
    </row>
    <row r="68" spans="1:8" ht="15">
      <c r="A68" s="101"/>
      <c r="B68" s="116" t="s">
        <v>116</v>
      </c>
      <c r="C68" s="103">
        <v>1085.9233095573475</v>
      </c>
      <c r="D68" s="103"/>
      <c r="E68" s="73">
        <v>1019.09951</v>
      </c>
      <c r="F68" s="73">
        <v>1086.716</v>
      </c>
      <c r="G68" s="81"/>
      <c r="H68" s="104">
        <f>E68-F68</f>
        <v>-67.61648999999989</v>
      </c>
    </row>
    <row r="69" spans="1:8" ht="15.75" thickBot="1">
      <c r="A69" s="105"/>
      <c r="B69" s="174" t="s">
        <v>117</v>
      </c>
      <c r="C69" s="107">
        <v>958.7051049915697</v>
      </c>
      <c r="D69" s="107"/>
      <c r="E69" s="87">
        <v>899.7098544</v>
      </c>
      <c r="F69" s="87">
        <v>610.36312</v>
      </c>
      <c r="G69" s="88"/>
      <c r="H69" s="108">
        <f>74.86726+159.0843</f>
        <v>233.95156000000003</v>
      </c>
    </row>
    <row r="70" spans="1:8" ht="20.25" customHeight="1" thickBot="1" thickTop="1">
      <c r="A70" s="175" t="s">
        <v>118</v>
      </c>
      <c r="B70" s="166" t="s">
        <v>119</v>
      </c>
      <c r="C70" s="111">
        <v>12975.498855990001</v>
      </c>
      <c r="D70" s="111"/>
      <c r="E70" s="166">
        <v>13719.699174399999</v>
      </c>
      <c r="F70" s="166">
        <v>14179.63012</v>
      </c>
      <c r="G70" s="166">
        <v>123.23092320000002</v>
      </c>
      <c r="H70" s="168">
        <f>H25+H64</f>
        <v>-459.930945600001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342.81526</v>
      </c>
      <c r="F71" s="166">
        <v>359.30481</v>
      </c>
      <c r="G71" s="166">
        <v>0</v>
      </c>
      <c r="H71" s="168">
        <f>E71-F71</f>
        <v>-16.48954999999995</v>
      </c>
    </row>
    <row r="72" spans="1:8" ht="15.75" thickTop="1">
      <c r="A72" s="176"/>
      <c r="B72" s="170" t="s">
        <v>122</v>
      </c>
      <c r="C72" s="177"/>
      <c r="D72" s="177"/>
      <c r="E72" s="117">
        <v>342.81526</v>
      </c>
      <c r="F72" s="117">
        <v>359.30481</v>
      </c>
      <c r="G72" s="117"/>
      <c r="H72" s="104">
        <f>E72-F72</f>
        <v>-16.48954999999995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1274.83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0.2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3630.0595043999992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1652.2759999999994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1920.0830543999996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57.700450000000046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6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6.421875" style="187" customWidth="1"/>
    <col min="2" max="2" width="54.57421875" style="140" customWidth="1"/>
    <col min="3" max="3" width="15.00390625" style="140" customWidth="1"/>
    <col min="4" max="4" width="9.7109375" style="140" customWidth="1"/>
    <col min="5" max="5" width="16.57421875" style="140" customWidth="1"/>
    <col min="6" max="6" width="27.421875" style="140" customWidth="1"/>
    <col min="7" max="7" width="22.7109375" style="140" customWidth="1"/>
    <col min="8" max="8" width="20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27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27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1455.74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701.46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729.23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25.05</v>
      </c>
      <c r="F22" s="8" t="s">
        <v>20</v>
      </c>
      <c r="G22" s="30"/>
    </row>
    <row r="23" spans="1:8" s="149" customFormat="1" ht="84.7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2310.198081053173</v>
      </c>
      <c r="D25" s="57">
        <v>0</v>
      </c>
      <c r="E25" s="58">
        <v>2723.9840000000004</v>
      </c>
      <c r="F25" s="58">
        <v>2742.33</v>
      </c>
      <c r="G25" s="157">
        <v>22.3676766</v>
      </c>
      <c r="H25" s="59">
        <f>E25-F25</f>
        <v>-18.34599999999955</v>
      </c>
    </row>
    <row r="26" spans="1:8" s="143" customFormat="1" ht="18">
      <c r="A26" s="60" t="s">
        <v>36</v>
      </c>
      <c r="B26" s="61" t="s">
        <v>37</v>
      </c>
      <c r="C26" s="62">
        <v>179.22491</v>
      </c>
      <c r="D26" s="62"/>
      <c r="E26" s="63">
        <v>456.837</v>
      </c>
      <c r="F26" s="63">
        <v>459.89</v>
      </c>
      <c r="G26" s="63">
        <v>3.8823353999999997</v>
      </c>
      <c r="H26" s="64">
        <f>E26-F26</f>
        <v>-3.0529999999999973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2130.9731710531732</v>
      </c>
      <c r="D50" s="62">
        <v>0</v>
      </c>
      <c r="E50" s="63">
        <v>2267.1470000000004</v>
      </c>
      <c r="F50" s="63">
        <v>2282.44</v>
      </c>
      <c r="G50" s="63">
        <v>18.4853412</v>
      </c>
      <c r="H50" s="64">
        <f aca="true" t="shared" si="0" ref="H50:H62">E50-F50</f>
        <v>-15.292999999999665</v>
      </c>
    </row>
    <row r="51" spans="1:8" ht="15">
      <c r="A51" s="77" t="s">
        <v>84</v>
      </c>
      <c r="B51" s="78" t="s">
        <v>85</v>
      </c>
      <c r="C51" s="79">
        <v>294.11290531075747</v>
      </c>
      <c r="D51" s="80"/>
      <c r="E51" s="73">
        <v>150.852</v>
      </c>
      <c r="F51" s="73">
        <v>151.93</v>
      </c>
      <c r="G51" s="81">
        <v>1.2458411999999999</v>
      </c>
      <c r="H51" s="82">
        <f t="shared" si="0"/>
        <v>-1.078000000000003</v>
      </c>
    </row>
    <row r="52" spans="1:8" s="158" customFormat="1" ht="15">
      <c r="A52" s="77" t="s">
        <v>86</v>
      </c>
      <c r="B52" s="78" t="s">
        <v>87</v>
      </c>
      <c r="C52" s="79">
        <v>323.45826331631076</v>
      </c>
      <c r="D52" s="80"/>
      <c r="E52" s="73">
        <v>411.366</v>
      </c>
      <c r="F52" s="73">
        <v>414.09</v>
      </c>
      <c r="G52" s="81">
        <v>3.5352468000000004</v>
      </c>
      <c r="H52" s="82">
        <f t="shared" si="0"/>
        <v>-2.7239999999999895</v>
      </c>
    </row>
    <row r="53" spans="1:8" s="159" customFormat="1" ht="16.5">
      <c r="A53" s="77" t="s">
        <v>88</v>
      </c>
      <c r="B53" s="78" t="s">
        <v>89</v>
      </c>
      <c r="C53" s="79">
        <v>64.51443863622553</v>
      </c>
      <c r="D53" s="80"/>
      <c r="E53" s="73">
        <v>63.122</v>
      </c>
      <c r="F53" s="73">
        <v>63.62</v>
      </c>
      <c r="G53" s="81">
        <v>0.5263793999999999</v>
      </c>
      <c r="H53" s="82">
        <f t="shared" si="0"/>
        <v>-0.49799999999999756</v>
      </c>
    </row>
    <row r="54" spans="1:8" s="160" customFormat="1" ht="15">
      <c r="A54" s="77" t="s">
        <v>90</v>
      </c>
      <c r="B54" s="78" t="s">
        <v>91</v>
      </c>
      <c r="C54" s="79">
        <v>211.79331363455702</v>
      </c>
      <c r="D54" s="80"/>
      <c r="E54" s="73">
        <v>202.741</v>
      </c>
      <c r="F54" s="73">
        <v>203.75</v>
      </c>
      <c r="G54" s="81">
        <v>1.6457975999999999</v>
      </c>
      <c r="H54" s="82">
        <f t="shared" si="0"/>
        <v>-1.0089999999999861</v>
      </c>
    </row>
    <row r="55" spans="1:8" ht="30.75" customHeight="1">
      <c r="A55" s="77" t="s">
        <v>92</v>
      </c>
      <c r="B55" s="78" t="s">
        <v>93</v>
      </c>
      <c r="C55" s="79">
        <v>803.5236401297061</v>
      </c>
      <c r="D55" s="80"/>
      <c r="E55" s="73">
        <v>1006.751</v>
      </c>
      <c r="F55" s="73">
        <v>1013.56</v>
      </c>
      <c r="G55" s="81">
        <v>8.3002446</v>
      </c>
      <c r="H55" s="82">
        <f t="shared" si="0"/>
        <v>-6.808999999999969</v>
      </c>
    </row>
    <row r="56" spans="1:8" ht="15">
      <c r="A56" s="77" t="s">
        <v>94</v>
      </c>
      <c r="B56" s="78" t="s">
        <v>95</v>
      </c>
      <c r="C56" s="79">
        <v>236.5195988276408</v>
      </c>
      <c r="D56" s="80"/>
      <c r="E56" s="73">
        <v>213.974</v>
      </c>
      <c r="F56" s="73">
        <v>215.55</v>
      </c>
      <c r="G56" s="81">
        <v>1.8549702</v>
      </c>
      <c r="H56" s="82">
        <f t="shared" si="0"/>
        <v>-1.5760000000000218</v>
      </c>
    </row>
    <row r="57" spans="1:8" ht="17.25" customHeight="1">
      <c r="A57" s="77" t="s">
        <v>96</v>
      </c>
      <c r="B57" s="78" t="s">
        <v>97</v>
      </c>
      <c r="C57" s="79">
        <v>23.091071142161397</v>
      </c>
      <c r="D57" s="80"/>
      <c r="E57" s="73">
        <v>33.166</v>
      </c>
      <c r="F57" s="73">
        <v>33.46</v>
      </c>
      <c r="G57" s="81">
        <v>0.2804292</v>
      </c>
      <c r="H57" s="82">
        <f t="shared" si="0"/>
        <v>-0.29400000000000404</v>
      </c>
    </row>
    <row r="58" spans="1:8" ht="15">
      <c r="A58" s="77" t="s">
        <v>98</v>
      </c>
      <c r="B58" s="78" t="s">
        <v>99</v>
      </c>
      <c r="C58" s="79">
        <v>134.5077657688496</v>
      </c>
      <c r="D58" s="80"/>
      <c r="E58" s="73">
        <v>130.524</v>
      </c>
      <c r="F58" s="73">
        <v>131.36</v>
      </c>
      <c r="G58" s="81">
        <v>1.080342</v>
      </c>
      <c r="H58" s="82">
        <f t="shared" si="0"/>
        <v>-0.8360000000000127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1.9874430118700825</v>
      </c>
      <c r="D61" s="80"/>
      <c r="E61" s="73">
        <v>2.139</v>
      </c>
      <c r="F61" s="73">
        <v>2.19</v>
      </c>
      <c r="G61" s="81">
        <v>0.016090200000000002</v>
      </c>
      <c r="H61" s="82">
        <f t="shared" si="0"/>
        <v>-0.051000000000000156</v>
      </c>
    </row>
    <row r="62" spans="1:8" s="143" customFormat="1" ht="15.75" thickBot="1">
      <c r="A62" s="83" t="s">
        <v>106</v>
      </c>
      <c r="B62" s="84" t="s">
        <v>107</v>
      </c>
      <c r="C62" s="85">
        <v>37.46473127509452</v>
      </c>
      <c r="D62" s="86"/>
      <c r="E62" s="87">
        <v>52.512</v>
      </c>
      <c r="F62" s="87">
        <v>52.93</v>
      </c>
      <c r="G62" s="88">
        <v>0</v>
      </c>
      <c r="H62" s="89">
        <f t="shared" si="0"/>
        <v>-0.41799999999999926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284.54742539999995</v>
      </c>
      <c r="D63" s="93"/>
      <c r="E63" s="94" t="s">
        <v>110</v>
      </c>
      <c r="F63" s="94"/>
      <c r="G63" s="163">
        <v>1.9170945112096263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3085.9935877238677</v>
      </c>
      <c r="D64" s="111"/>
      <c r="E64" s="167">
        <v>2946.92696232</v>
      </c>
      <c r="F64" s="167">
        <v>2897.91495</v>
      </c>
      <c r="G64" s="167">
        <v>14.1271956</v>
      </c>
      <c r="H64" s="168">
        <f>E64-F64</f>
        <v>49.01201231999994</v>
      </c>
    </row>
    <row r="65" spans="1:8" ht="15.75" thickTop="1">
      <c r="A65" s="169"/>
      <c r="B65" s="170" t="s">
        <v>113</v>
      </c>
      <c r="C65" s="171">
        <v>1719.5038040637269</v>
      </c>
      <c r="D65" s="171"/>
      <c r="E65" s="172">
        <v>1664.526026</v>
      </c>
      <c r="F65" s="172">
        <v>1653.292</v>
      </c>
      <c r="G65" s="163">
        <v>14.1271956</v>
      </c>
      <c r="H65" s="173">
        <f>E65-F65</f>
        <v>11.234026000000085</v>
      </c>
    </row>
    <row r="66" spans="1:8" ht="15">
      <c r="A66" s="101"/>
      <c r="B66" s="116" t="s">
        <v>114</v>
      </c>
      <c r="C66" s="103">
        <v>351.8953811789794</v>
      </c>
      <c r="D66" s="103"/>
      <c r="E66" s="73">
        <v>330.24101</v>
      </c>
      <c r="F66" s="73">
        <v>340.756</v>
      </c>
      <c r="G66" s="81"/>
      <c r="H66" s="104">
        <f>E66-F66</f>
        <v>-10.514989999999955</v>
      </c>
    </row>
    <row r="67" spans="1:8" ht="15">
      <c r="A67" s="101"/>
      <c r="B67" s="116" t="s">
        <v>115</v>
      </c>
      <c r="C67" s="103">
        <v>305.081056680511</v>
      </c>
      <c r="D67" s="103"/>
      <c r="E67" s="73">
        <v>286.30747</v>
      </c>
      <c r="F67" s="73">
        <v>295.788</v>
      </c>
      <c r="G67" s="81"/>
      <c r="H67" s="104">
        <f>E67-F67</f>
        <v>-9.480529999999987</v>
      </c>
    </row>
    <row r="68" spans="1:8" ht="15">
      <c r="A68" s="101"/>
      <c r="B68" s="116" t="s">
        <v>116</v>
      </c>
      <c r="C68" s="103">
        <v>410.7039160783611</v>
      </c>
      <c r="D68" s="103"/>
      <c r="E68" s="73">
        <v>385.43068</v>
      </c>
      <c r="F68" s="73">
        <v>395.826</v>
      </c>
      <c r="G68" s="81"/>
      <c r="H68" s="104">
        <f>E68-F68</f>
        <v>-10.395320000000027</v>
      </c>
    </row>
    <row r="69" spans="1:8" ht="15.75" thickBot="1">
      <c r="A69" s="105"/>
      <c r="B69" s="174" t="s">
        <v>117</v>
      </c>
      <c r="C69" s="107">
        <v>298.80942972228945</v>
      </c>
      <c r="D69" s="107"/>
      <c r="E69" s="87">
        <v>280.42177632</v>
      </c>
      <c r="F69" s="87">
        <v>212.25295</v>
      </c>
      <c r="G69" s="88"/>
      <c r="H69" s="108">
        <f>27.58148+19.59206832</f>
        <v>47.173548319999995</v>
      </c>
    </row>
    <row r="70" spans="1:8" ht="20.25" customHeight="1" thickBot="1" thickTop="1">
      <c r="A70" s="175" t="s">
        <v>118</v>
      </c>
      <c r="B70" s="166" t="s">
        <v>119</v>
      </c>
      <c r="C70" s="111">
        <v>5396.191668777041</v>
      </c>
      <c r="D70" s="111"/>
      <c r="E70" s="166">
        <v>5670.91096232</v>
      </c>
      <c r="F70" s="166">
        <v>5640.24495</v>
      </c>
      <c r="G70" s="166">
        <v>36.4948722</v>
      </c>
      <c r="H70" s="168">
        <f>H25+H64</f>
        <v>30.66601232000039</v>
      </c>
    </row>
    <row r="71" spans="1:8" ht="19.5" thickBot="1" thickTop="1">
      <c r="A71" s="165" t="s">
        <v>120</v>
      </c>
      <c r="B71" s="166" t="s">
        <v>121</v>
      </c>
      <c r="C71" s="111">
        <v>2374.67566</v>
      </c>
      <c r="D71" s="111"/>
      <c r="E71" s="166">
        <v>127.71472</v>
      </c>
      <c r="F71" s="166">
        <v>131.52167</v>
      </c>
      <c r="G71" s="166">
        <v>0</v>
      </c>
      <c r="H71" s="168">
        <f>E71-F71</f>
        <v>-3.8069500000000005</v>
      </c>
    </row>
    <row r="72" spans="1:8" ht="15.75" thickTop="1">
      <c r="A72" s="176"/>
      <c r="B72" s="170" t="s">
        <v>122</v>
      </c>
      <c r="C72" s="177"/>
      <c r="D72" s="177"/>
      <c r="E72" s="117">
        <v>127.71472</v>
      </c>
      <c r="F72" s="117">
        <v>131.52167</v>
      </c>
      <c r="G72" s="117"/>
      <c r="H72" s="104">
        <f>E72-F72</f>
        <v>-3.8069500000000005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264.524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1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1482.5990623200005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683.1140000000005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778.24201232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21.24305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7">
    <tabColor theme="9" tint="0.5999900102615356"/>
  </sheetPr>
  <dimension ref="A1:H104"/>
  <sheetViews>
    <sheetView zoomScaleSheetLayoutView="80" zoomScalePageLayoutView="0" workbookViewId="0" topLeftCell="A1">
      <selection activeCell="G50" sqref="G50"/>
    </sheetView>
  </sheetViews>
  <sheetFormatPr defaultColWidth="9.140625" defaultRowHeight="15"/>
  <cols>
    <col min="1" max="1" width="8.57421875" style="282" customWidth="1"/>
    <col min="2" max="2" width="54.00390625" style="249" customWidth="1"/>
    <col min="3" max="3" width="15.28125" style="249" customWidth="1"/>
    <col min="4" max="4" width="8.421875" style="249" customWidth="1"/>
    <col min="5" max="5" width="17.8515625" style="249" customWidth="1"/>
    <col min="6" max="6" width="23.8515625" style="249" customWidth="1"/>
    <col min="7" max="7" width="21.28125" style="249" customWidth="1"/>
    <col min="8" max="8" width="17.421875" style="249" hidden="1" customWidth="1"/>
    <col min="9" max="16384" width="9.140625" style="249" customWidth="1"/>
  </cols>
  <sheetData>
    <row r="1" spans="1:8" ht="18">
      <c r="A1" s="292" t="s">
        <v>0</v>
      </c>
      <c r="B1" s="292"/>
      <c r="C1" s="292"/>
      <c r="D1" s="292"/>
      <c r="E1" s="292"/>
      <c r="F1" s="292"/>
      <c r="G1" s="292"/>
      <c r="H1" s="292"/>
    </row>
    <row r="2" spans="1:8" s="250" customFormat="1" ht="15.75">
      <c r="A2" s="293"/>
      <c r="B2" s="294" t="s">
        <v>1</v>
      </c>
      <c r="C2" s="295" t="s">
        <v>2</v>
      </c>
      <c r="D2" s="295" t="str">
        <f>B17</f>
        <v>Котульского</v>
      </c>
      <c r="E2" s="295"/>
      <c r="F2" s="295" t="s">
        <v>3</v>
      </c>
      <c r="G2" s="296">
        <f>D17</f>
        <v>6</v>
      </c>
      <c r="H2" s="295"/>
    </row>
    <row r="3" spans="1:8" ht="35.25" customHeight="1">
      <c r="A3" s="297" t="s">
        <v>135</v>
      </c>
      <c r="B3" s="297"/>
      <c r="C3" s="297"/>
      <c r="D3" s="297"/>
      <c r="E3" s="297"/>
      <c r="F3" s="297"/>
      <c r="G3" s="297"/>
      <c r="H3" s="297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251" t="s">
        <v>138</v>
      </c>
      <c r="B14" s="251"/>
      <c r="C14" s="251"/>
      <c r="D14" s="251"/>
      <c r="E14" s="251"/>
      <c r="F14" s="251"/>
      <c r="G14" s="251"/>
      <c r="H14" s="251"/>
    </row>
    <row r="15" spans="1:8" ht="20.25" collapsed="1">
      <c r="A15" s="298" t="s">
        <v>14</v>
      </c>
      <c r="B15" s="298"/>
      <c r="C15" s="298"/>
      <c r="D15" s="298"/>
      <c r="E15" s="298"/>
      <c r="F15" s="298"/>
      <c r="G15" s="298"/>
      <c r="H15" s="298"/>
    </row>
    <row r="16" spans="1:8" s="252" customFormat="1" ht="18" customHeight="1">
      <c r="A16" s="299" t="s">
        <v>15</v>
      </c>
      <c r="B16" s="299"/>
      <c r="C16" s="299"/>
      <c r="D16" s="299"/>
      <c r="E16" s="299"/>
      <c r="F16" s="299"/>
      <c r="G16" s="299"/>
      <c r="H16" s="299"/>
    </row>
    <row r="17" spans="1:8" s="254" customFormat="1" ht="18">
      <c r="A17" s="300" t="s">
        <v>16</v>
      </c>
      <c r="B17" s="301" t="s">
        <v>154</v>
      </c>
      <c r="C17" s="300" t="s">
        <v>3</v>
      </c>
      <c r="D17" s="300">
        <v>6</v>
      </c>
      <c r="E17" s="300" t="s">
        <v>18</v>
      </c>
      <c r="F17" s="300"/>
      <c r="G17" s="300"/>
      <c r="H17" s="302"/>
    </row>
    <row r="18" spans="1:8" s="250" customFormat="1" ht="10.5" customHeight="1">
      <c r="A18" s="303"/>
      <c r="B18" s="304"/>
      <c r="C18" s="305"/>
      <c r="D18" s="305"/>
      <c r="E18" s="305"/>
      <c r="F18" s="305"/>
      <c r="G18" s="305"/>
      <c r="H18" s="305"/>
    </row>
    <row r="19" spans="1:8" s="250" customFormat="1" ht="18">
      <c r="A19" s="303"/>
      <c r="B19" s="301" t="s">
        <v>19</v>
      </c>
      <c r="C19" s="305"/>
      <c r="D19" s="305"/>
      <c r="E19" s="306">
        <f>E20+E21+E22</f>
        <v>3065.81</v>
      </c>
      <c r="F19" s="307" t="s">
        <v>20</v>
      </c>
      <c r="G19" s="305"/>
      <c r="H19" s="305"/>
    </row>
    <row r="20" spans="1:8" s="250" customFormat="1" ht="18">
      <c r="A20" s="303"/>
      <c r="B20" s="305" t="s">
        <v>21</v>
      </c>
      <c r="C20" s="305"/>
      <c r="D20" s="305"/>
      <c r="E20" s="146">
        <v>1261.72</v>
      </c>
      <c r="F20" s="305" t="s">
        <v>20</v>
      </c>
      <c r="G20" s="305"/>
      <c r="H20" s="305"/>
    </row>
    <row r="21" spans="1:8" s="250" customFormat="1" ht="18">
      <c r="A21" s="308"/>
      <c r="B21" s="305" t="s">
        <v>22</v>
      </c>
      <c r="C21" s="305"/>
      <c r="D21" s="305"/>
      <c r="E21" s="146">
        <v>1797.57</v>
      </c>
      <c r="F21" s="305" t="s">
        <v>20</v>
      </c>
      <c r="G21" s="305"/>
      <c r="H21" s="305"/>
    </row>
    <row r="22" spans="1:8" s="252" customFormat="1" ht="18">
      <c r="A22" s="309"/>
      <c r="B22" s="305" t="s">
        <v>23</v>
      </c>
      <c r="C22" s="310"/>
      <c r="D22" s="310"/>
      <c r="E22" s="146">
        <v>6.52</v>
      </c>
      <c r="F22" s="305" t="s">
        <v>20</v>
      </c>
      <c r="G22" s="311"/>
      <c r="H22" s="311"/>
    </row>
    <row r="23" spans="1:8" s="25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252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312" customFormat="1" ht="21.75" customHeight="1">
      <c r="A25" s="55" t="s">
        <v>34</v>
      </c>
      <c r="B25" s="56" t="s">
        <v>35</v>
      </c>
      <c r="C25" s="57">
        <v>5864.686668232798</v>
      </c>
      <c r="D25" s="57">
        <v>0</v>
      </c>
      <c r="E25" s="58">
        <v>5446.828</v>
      </c>
      <c r="F25" s="58">
        <v>5202.46</v>
      </c>
      <c r="G25" s="157">
        <v>82.1764224</v>
      </c>
      <c r="H25" s="59">
        <f>E25-F25</f>
        <v>244.3680000000004</v>
      </c>
    </row>
    <row r="26" spans="1:8" s="252" customFormat="1" ht="18">
      <c r="A26" s="60" t="s">
        <v>36</v>
      </c>
      <c r="B26" s="61" t="s">
        <v>37</v>
      </c>
      <c r="C26" s="62">
        <v>282.79</v>
      </c>
      <c r="D26" s="62"/>
      <c r="E26" s="63">
        <v>1309.628</v>
      </c>
      <c r="F26" s="63">
        <v>1249.12</v>
      </c>
      <c r="G26" s="313">
        <v>19.9345536</v>
      </c>
      <c r="H26" s="64">
        <f>E26-F26</f>
        <v>60.50800000000004</v>
      </c>
    </row>
    <row r="27" spans="1:8" s="252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252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252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252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252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252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252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252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252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252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252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252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252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252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252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252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252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252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252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252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252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266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266" customFormat="1" ht="18">
      <c r="A50" s="75" t="s">
        <v>82</v>
      </c>
      <c r="B50" s="76" t="s">
        <v>83</v>
      </c>
      <c r="C50" s="62">
        <v>5581.896668232798</v>
      </c>
      <c r="D50" s="62">
        <v>0</v>
      </c>
      <c r="E50" s="63">
        <v>4137.200000000001</v>
      </c>
      <c r="F50" s="63">
        <v>3953.34</v>
      </c>
      <c r="G50" s="63">
        <v>62.24186880000001</v>
      </c>
      <c r="H50" s="64">
        <f aca="true" t="shared" si="0" ref="H50:H61">E50-F50</f>
        <v>183.86000000000058</v>
      </c>
    </row>
    <row r="51" spans="1:8" s="266" customFormat="1" ht="15">
      <c r="A51" s="77" t="s">
        <v>84</v>
      </c>
      <c r="B51" s="78" t="s">
        <v>85</v>
      </c>
      <c r="C51" s="79">
        <v>571.8191247495296</v>
      </c>
      <c r="D51" s="80"/>
      <c r="E51" s="73">
        <v>270.42</v>
      </c>
      <c r="F51" s="73">
        <v>258.56</v>
      </c>
      <c r="G51" s="81">
        <v>4.006886400000001</v>
      </c>
      <c r="H51" s="82">
        <f t="shared" si="0"/>
        <v>11.860000000000014</v>
      </c>
    </row>
    <row r="52" spans="1:8" s="266" customFormat="1" ht="15">
      <c r="A52" s="77" t="s">
        <v>86</v>
      </c>
      <c r="B52" s="78" t="s">
        <v>87</v>
      </c>
      <c r="C52" s="79">
        <v>365.52020379112884</v>
      </c>
      <c r="D52" s="80"/>
      <c r="E52" s="73">
        <v>353.568</v>
      </c>
      <c r="F52" s="73">
        <v>337.64</v>
      </c>
      <c r="G52" s="81">
        <v>5.528563200000001</v>
      </c>
      <c r="H52" s="82">
        <f t="shared" si="0"/>
        <v>15.927999999999997</v>
      </c>
    </row>
    <row r="53" spans="1:8" s="266" customFormat="1" ht="15">
      <c r="A53" s="77" t="s">
        <v>88</v>
      </c>
      <c r="B53" s="78" t="s">
        <v>89</v>
      </c>
      <c r="C53" s="79">
        <v>71.09960197348485</v>
      </c>
      <c r="D53" s="80"/>
      <c r="E53" s="73">
        <v>66.668</v>
      </c>
      <c r="F53" s="73">
        <v>63.47</v>
      </c>
      <c r="G53" s="81">
        <v>1.0281600000000002</v>
      </c>
      <c r="H53" s="82">
        <f t="shared" si="0"/>
        <v>3.1980000000000075</v>
      </c>
    </row>
    <row r="54" spans="1:8" s="266" customFormat="1" ht="15">
      <c r="A54" s="77" t="s">
        <v>90</v>
      </c>
      <c r="B54" s="78" t="s">
        <v>91</v>
      </c>
      <c r="C54" s="79">
        <v>327.63446916641567</v>
      </c>
      <c r="D54" s="80"/>
      <c r="E54" s="73">
        <v>283.903</v>
      </c>
      <c r="F54" s="73">
        <v>271.05</v>
      </c>
      <c r="G54" s="81">
        <v>4.2066432</v>
      </c>
      <c r="H54" s="82">
        <f t="shared" si="0"/>
        <v>12.853000000000009</v>
      </c>
    </row>
    <row r="55" spans="1:8" s="266" customFormat="1" ht="30.75" customHeight="1">
      <c r="A55" s="77" t="s">
        <v>92</v>
      </c>
      <c r="B55" s="78" t="s">
        <v>93</v>
      </c>
      <c r="C55" s="79">
        <v>1698.8887955022892</v>
      </c>
      <c r="D55" s="80"/>
      <c r="E55" s="73">
        <v>1129.622</v>
      </c>
      <c r="F55" s="73">
        <v>1080.03</v>
      </c>
      <c r="G55" s="81">
        <v>16.808947200000002</v>
      </c>
      <c r="H55" s="82">
        <f t="shared" si="0"/>
        <v>49.5920000000001</v>
      </c>
    </row>
    <row r="56" spans="1:8" s="266" customFormat="1" ht="15">
      <c r="A56" s="77" t="s">
        <v>94</v>
      </c>
      <c r="B56" s="78" t="s">
        <v>95</v>
      </c>
      <c r="C56" s="79">
        <v>174.50203149408807</v>
      </c>
      <c r="D56" s="80"/>
      <c r="E56" s="73">
        <v>155.809</v>
      </c>
      <c r="F56" s="73">
        <v>148.79</v>
      </c>
      <c r="G56" s="81">
        <v>2.4323328000000006</v>
      </c>
      <c r="H56" s="82">
        <f t="shared" si="0"/>
        <v>7.0190000000000055</v>
      </c>
    </row>
    <row r="57" spans="1:8" s="266" customFormat="1" ht="15">
      <c r="A57" s="77" t="s">
        <v>96</v>
      </c>
      <c r="B57" s="78" t="s">
        <v>97</v>
      </c>
      <c r="C57" s="79">
        <v>139.94254399909403</v>
      </c>
      <c r="D57" s="80"/>
      <c r="E57" s="73">
        <v>203.751</v>
      </c>
      <c r="F57" s="73">
        <v>194.57</v>
      </c>
      <c r="G57" s="81">
        <v>2.9199744000000005</v>
      </c>
      <c r="H57" s="82">
        <f t="shared" si="0"/>
        <v>9.181000000000012</v>
      </c>
    </row>
    <row r="58" spans="1:8" s="266" customFormat="1" ht="15">
      <c r="A58" s="77" t="s">
        <v>98</v>
      </c>
      <c r="B58" s="78" t="s">
        <v>99</v>
      </c>
      <c r="C58" s="79">
        <v>486.6491045633462</v>
      </c>
      <c r="D58" s="80"/>
      <c r="E58" s="73">
        <v>380.536</v>
      </c>
      <c r="F58" s="73">
        <v>363.65</v>
      </c>
      <c r="G58" s="81">
        <v>5.7341952</v>
      </c>
      <c r="H58" s="82">
        <f t="shared" si="0"/>
        <v>16.886000000000024</v>
      </c>
    </row>
    <row r="59" spans="1:8" s="266" customFormat="1" ht="15">
      <c r="A59" s="77" t="s">
        <v>100</v>
      </c>
      <c r="B59" s="78" t="s">
        <v>101</v>
      </c>
      <c r="C59" s="79">
        <v>1743.147857894267</v>
      </c>
      <c r="D59" s="80"/>
      <c r="E59" s="73">
        <v>1289.927</v>
      </c>
      <c r="F59" s="73">
        <v>1232.98</v>
      </c>
      <c r="G59" s="81">
        <v>19.53504</v>
      </c>
      <c r="H59" s="82">
        <f t="shared" si="0"/>
        <v>56.94699999999989</v>
      </c>
    </row>
    <row r="60" spans="1:8" s="266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266" customFormat="1" ht="28.5">
      <c r="A61" s="77" t="s">
        <v>104</v>
      </c>
      <c r="B61" s="78" t="s">
        <v>105</v>
      </c>
      <c r="C61" s="79">
        <v>2.692935099154856</v>
      </c>
      <c r="D61" s="80"/>
      <c r="E61" s="73">
        <v>2.996</v>
      </c>
      <c r="F61" s="73">
        <v>2.6</v>
      </c>
      <c r="G61" s="81">
        <v>0.04112640000000001</v>
      </c>
      <c r="H61" s="82">
        <f t="shared" si="0"/>
        <v>0.3959999999999999</v>
      </c>
    </row>
    <row r="62" spans="1:8" s="266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986.2645536</v>
      </c>
      <c r="D63" s="316"/>
      <c r="E63" s="317" t="s">
        <v>110</v>
      </c>
      <c r="F63" s="317"/>
      <c r="G63" s="94"/>
      <c r="H63" s="220"/>
    </row>
    <row r="64" spans="1:8" s="250" customFormat="1" ht="19.5" thickBot="1" thickTop="1">
      <c r="A64" s="165" t="s">
        <v>111</v>
      </c>
      <c r="B64" s="234" t="s">
        <v>112</v>
      </c>
      <c r="C64" s="114">
        <v>6884.460612394857</v>
      </c>
      <c r="D64" s="114"/>
      <c r="E64" s="112">
        <v>6955.142258</v>
      </c>
      <c r="F64" s="112">
        <v>6407.0626999999995</v>
      </c>
      <c r="G64" s="112">
        <v>36.1089792</v>
      </c>
      <c r="H64" s="235">
        <f>E64-F64</f>
        <v>548.0795580000004</v>
      </c>
    </row>
    <row r="65" spans="1:8" ht="15.75" thickTop="1">
      <c r="A65" s="176"/>
      <c r="B65" s="170" t="s">
        <v>113</v>
      </c>
      <c r="C65" s="171">
        <v>2597.163596520087</v>
      </c>
      <c r="D65" s="171"/>
      <c r="E65" s="163">
        <v>2361.59516</v>
      </c>
      <c r="F65" s="163">
        <v>2239.562</v>
      </c>
      <c r="G65" s="172">
        <v>36.1089792</v>
      </c>
      <c r="H65" s="226">
        <f>E65-F65</f>
        <v>122.03315999999995</v>
      </c>
    </row>
    <row r="66" spans="1:8" ht="15">
      <c r="A66" s="115"/>
      <c r="B66" s="116" t="s">
        <v>114</v>
      </c>
      <c r="C66" s="103">
        <v>1123.955021156452</v>
      </c>
      <c r="D66" s="103"/>
      <c r="E66" s="81">
        <v>1212.65663</v>
      </c>
      <c r="F66" s="81">
        <v>1139.022</v>
      </c>
      <c r="G66" s="81"/>
      <c r="H66" s="179">
        <f>E66-F66</f>
        <v>73.63463000000002</v>
      </c>
    </row>
    <row r="67" spans="1:8" ht="15">
      <c r="A67" s="115"/>
      <c r="B67" s="116" t="s">
        <v>115</v>
      </c>
      <c r="C67" s="103">
        <v>966.2084322630694</v>
      </c>
      <c r="D67" s="103"/>
      <c r="E67" s="81">
        <v>1068.21815</v>
      </c>
      <c r="F67" s="81">
        <v>992.233</v>
      </c>
      <c r="G67" s="81"/>
      <c r="H67" s="179">
        <f>E67-F67</f>
        <v>75.98514999999998</v>
      </c>
    </row>
    <row r="68" spans="1:8" ht="15">
      <c r="A68" s="115"/>
      <c r="B68" s="116" t="s">
        <v>116</v>
      </c>
      <c r="C68" s="103">
        <v>1302.6261136697503</v>
      </c>
      <c r="D68" s="103"/>
      <c r="E68" s="81">
        <v>1431.38617</v>
      </c>
      <c r="F68" s="81">
        <v>1334.003</v>
      </c>
      <c r="G68" s="81"/>
      <c r="H68" s="179">
        <f>E68-F68</f>
        <v>97.38317000000006</v>
      </c>
    </row>
    <row r="69" spans="1:8" ht="15.75" thickBot="1">
      <c r="A69" s="318"/>
      <c r="B69" s="174" t="s">
        <v>117</v>
      </c>
      <c r="C69" s="103">
        <v>894.5074487854984</v>
      </c>
      <c r="D69" s="103"/>
      <c r="E69" s="88">
        <v>881.286148</v>
      </c>
      <c r="F69" s="88">
        <v>702.2427</v>
      </c>
      <c r="G69" s="88"/>
      <c r="H69" s="232">
        <f>105.6730413+70.68158</f>
        <v>176.3546213</v>
      </c>
    </row>
    <row r="70" spans="1:8" ht="19.5" thickBot="1" thickTop="1">
      <c r="A70" s="165" t="s">
        <v>118</v>
      </c>
      <c r="B70" s="234" t="s">
        <v>119</v>
      </c>
      <c r="C70" s="114">
        <v>12749.147280627654</v>
      </c>
      <c r="D70" s="114"/>
      <c r="E70" s="112">
        <v>12401.970258000001</v>
      </c>
      <c r="F70" s="112">
        <v>11609.5227</v>
      </c>
      <c r="G70" s="112">
        <v>118.2854016</v>
      </c>
      <c r="H70" s="235">
        <f>H25+H64</f>
        <v>792.4475580000008</v>
      </c>
    </row>
    <row r="71" spans="1:8" ht="19.5" thickBot="1" thickTop="1">
      <c r="A71" s="165" t="s">
        <v>120</v>
      </c>
      <c r="B71" s="234" t="s">
        <v>121</v>
      </c>
      <c r="C71" s="114">
        <v>2416.95388</v>
      </c>
      <c r="D71" s="114"/>
      <c r="E71" s="112">
        <v>49.28471</v>
      </c>
      <c r="F71" s="112">
        <v>47.01443</v>
      </c>
      <c r="G71" s="112">
        <v>0</v>
      </c>
      <c r="H71" s="235">
        <f>E71-F71</f>
        <v>2.2702799999999996</v>
      </c>
    </row>
    <row r="72" spans="1:8" ht="15.75" thickTop="1">
      <c r="A72" s="115"/>
      <c r="B72" s="116" t="s">
        <v>122</v>
      </c>
      <c r="C72" s="118"/>
      <c r="D72" s="118"/>
      <c r="E72" s="81">
        <v>49.28471</v>
      </c>
      <c r="F72" s="81">
        <v>47.01443</v>
      </c>
      <c r="G72" s="119"/>
      <c r="H72" s="179">
        <f>E72-F72</f>
        <v>2.2702799999999996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141.53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10.40634</v>
      </c>
      <c r="D75" s="114"/>
      <c r="E75" s="323">
        <v>10.40634</v>
      </c>
      <c r="F75" s="323">
        <v>10.40634</v>
      </c>
      <c r="G75" s="180"/>
      <c r="H75" s="234">
        <f>E75-F75</f>
        <v>0</v>
      </c>
    </row>
    <row r="76" spans="1:8" ht="20.2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3860.527838000001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1506.0880000000004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2345.649558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8.79028</v>
      </c>
      <c r="H79" s="326"/>
    </row>
    <row r="80" spans="1:8" ht="14.25">
      <c r="A80" s="327"/>
      <c r="B80" s="328"/>
      <c r="C80" s="328"/>
      <c r="D80" s="328"/>
      <c r="E80" s="328"/>
      <c r="F80" s="328"/>
      <c r="G80" s="328"/>
      <c r="H80" s="328"/>
    </row>
    <row r="81" spans="1:8" ht="18">
      <c r="A81" s="327"/>
      <c r="B81" s="283" t="s">
        <v>132</v>
      </c>
      <c r="C81" s="283"/>
      <c r="D81" s="283"/>
      <c r="E81" s="283"/>
      <c r="F81" s="283"/>
      <c r="G81" s="283" t="s">
        <v>133</v>
      </c>
      <c r="H81" s="283"/>
    </row>
    <row r="82" spans="1:8" ht="18">
      <c r="A82" s="327"/>
      <c r="B82" s="283" t="s">
        <v>134</v>
      </c>
      <c r="C82" s="283"/>
      <c r="D82" s="283"/>
      <c r="E82" s="283"/>
      <c r="F82" s="283"/>
      <c r="G82" s="283"/>
      <c r="H82" s="283"/>
    </row>
    <row r="90" spans="1:8" s="252" customFormat="1" ht="14.25">
      <c r="A90" s="282"/>
      <c r="B90" s="249"/>
      <c r="C90" s="249"/>
      <c r="D90" s="249"/>
      <c r="E90" s="249"/>
      <c r="F90" s="249"/>
      <c r="G90" s="249"/>
      <c r="H90" s="249"/>
    </row>
    <row r="91" spans="1:8" s="252" customFormat="1" ht="14.25">
      <c r="A91" s="282"/>
      <c r="B91" s="249"/>
      <c r="C91" s="249"/>
      <c r="D91" s="249"/>
      <c r="E91" s="249"/>
      <c r="F91" s="249"/>
      <c r="G91" s="249"/>
      <c r="H91" s="249"/>
    </row>
    <row r="93" spans="1:8" s="267" customFormat="1" ht="16.5">
      <c r="A93" s="282"/>
      <c r="B93" s="249"/>
      <c r="C93" s="249"/>
      <c r="D93" s="249"/>
      <c r="E93" s="249"/>
      <c r="F93" s="249"/>
      <c r="G93" s="249"/>
      <c r="H93" s="249"/>
    </row>
    <row r="94" spans="1:8" s="284" customFormat="1" ht="14.25">
      <c r="A94" s="282"/>
      <c r="B94" s="249"/>
      <c r="C94" s="249"/>
      <c r="D94" s="249"/>
      <c r="E94" s="249"/>
      <c r="F94" s="249"/>
      <c r="G94" s="249"/>
      <c r="H94" s="249"/>
    </row>
    <row r="95" spans="1:8" s="284" customFormat="1" ht="14.25">
      <c r="A95" s="282"/>
      <c r="B95" s="249"/>
      <c r="C95" s="249"/>
      <c r="D95" s="249"/>
      <c r="E95" s="249"/>
      <c r="F95" s="249"/>
      <c r="G95" s="249"/>
      <c r="H95" s="249"/>
    </row>
    <row r="96" spans="1:8" s="284" customFormat="1" ht="14.25">
      <c r="A96" s="282"/>
      <c r="B96" s="249"/>
      <c r="C96" s="249"/>
      <c r="D96" s="249"/>
      <c r="E96" s="249"/>
      <c r="F96" s="249"/>
      <c r="G96" s="249"/>
      <c r="H96" s="249"/>
    </row>
    <row r="97" spans="1:8" s="284" customFormat="1" ht="14.25">
      <c r="A97" s="282"/>
      <c r="B97" s="249"/>
      <c r="C97" s="249"/>
      <c r="D97" s="249"/>
      <c r="E97" s="249"/>
      <c r="F97" s="249"/>
      <c r="G97" s="249"/>
      <c r="H97" s="249"/>
    </row>
    <row r="98" spans="1:8" s="284" customFormat="1" ht="14.25">
      <c r="A98" s="282"/>
      <c r="B98" s="249"/>
      <c r="C98" s="249"/>
      <c r="D98" s="249"/>
      <c r="E98" s="249"/>
      <c r="F98" s="249"/>
      <c r="G98" s="249"/>
      <c r="H98" s="249"/>
    </row>
    <row r="99" spans="1:8" s="285" customFormat="1" ht="14.25">
      <c r="A99" s="282"/>
      <c r="B99" s="249"/>
      <c r="C99" s="249"/>
      <c r="D99" s="249"/>
      <c r="E99" s="249"/>
      <c r="F99" s="249"/>
      <c r="G99" s="249"/>
      <c r="H99" s="249"/>
    </row>
    <row r="100" spans="1:8" s="285" customFormat="1" ht="14.25">
      <c r="A100" s="282"/>
      <c r="B100" s="249"/>
      <c r="C100" s="249"/>
      <c r="D100" s="249"/>
      <c r="E100" s="249"/>
      <c r="F100" s="249"/>
      <c r="G100" s="249"/>
      <c r="H100" s="249"/>
    </row>
    <row r="101" spans="1:8" s="252" customFormat="1" ht="14.25">
      <c r="A101" s="282"/>
      <c r="B101" s="249"/>
      <c r="C101" s="249"/>
      <c r="D101" s="249"/>
      <c r="E101" s="249"/>
      <c r="F101" s="249"/>
      <c r="G101" s="249"/>
      <c r="H101" s="249"/>
    </row>
    <row r="102" spans="1:8" s="286" customFormat="1" ht="16.5">
      <c r="A102" s="282"/>
      <c r="B102" s="249"/>
      <c r="C102" s="249"/>
      <c r="D102" s="249"/>
      <c r="E102" s="249"/>
      <c r="F102" s="249"/>
      <c r="G102" s="249"/>
      <c r="H102" s="249"/>
    </row>
    <row r="103" spans="1:8" s="284" customFormat="1" ht="14.25">
      <c r="A103" s="282"/>
      <c r="B103" s="249"/>
      <c r="C103" s="249"/>
      <c r="D103" s="249"/>
      <c r="E103" s="249"/>
      <c r="F103" s="249"/>
      <c r="G103" s="249"/>
      <c r="H103" s="249"/>
    </row>
    <row r="104" spans="1:8" s="284" customFormat="1" ht="14.25">
      <c r="A104" s="282"/>
      <c r="B104" s="249"/>
      <c r="C104" s="249"/>
      <c r="D104" s="249"/>
      <c r="E104" s="249"/>
      <c r="F104" s="249"/>
      <c r="G104" s="249"/>
      <c r="H104" s="249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8">
    <tabColor theme="7" tint="0.39998000860214233"/>
  </sheetPr>
  <dimension ref="A1:H104"/>
  <sheetViews>
    <sheetView zoomScaleSheetLayoutView="80" zoomScalePageLayoutView="0" workbookViewId="0" topLeftCell="A1">
      <selection activeCell="F57" sqref="F57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7.7109375" style="140" customWidth="1"/>
    <col min="4" max="4" width="10.7109375" style="140" customWidth="1"/>
    <col min="5" max="5" width="18.28125" style="140" customWidth="1"/>
    <col min="6" max="6" width="25.28125" style="140" customWidth="1"/>
    <col min="7" max="7" width="23.00390625" style="140" customWidth="1"/>
    <col min="8" max="8" width="15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156</v>
      </c>
      <c r="E2" s="5"/>
      <c r="F2" s="5" t="s">
        <v>3</v>
      </c>
      <c r="G2" s="7">
        <f>D17</f>
        <v>23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157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4" customHeight="1">
      <c r="A13" s="26"/>
      <c r="B13" s="26"/>
      <c r="C13" s="26"/>
      <c r="D13" s="26"/>
      <c r="E13" s="26"/>
      <c r="F13" s="26"/>
      <c r="G13" s="26"/>
      <c r="H13" s="26"/>
    </row>
    <row r="14" spans="1:8" ht="15.7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</v>
      </c>
      <c r="B17" s="197" t="s">
        <v>158</v>
      </c>
      <c r="C17" s="196" t="s">
        <v>3</v>
      </c>
      <c r="D17" s="196">
        <v>23</v>
      </c>
      <c r="E17" s="196" t="s">
        <v>18</v>
      </c>
      <c r="F17" s="196"/>
      <c r="G17" s="196"/>
      <c r="H17" s="198"/>
    </row>
    <row r="18" spans="1:8" s="141" customFormat="1" ht="2.25" customHeight="1">
      <c r="A18" s="199"/>
      <c r="B18" s="200"/>
      <c r="C18" s="201"/>
      <c r="D18" s="201"/>
      <c r="E18" s="201"/>
      <c r="F18" s="201"/>
      <c r="G18" s="201"/>
      <c r="H18" s="201"/>
    </row>
    <row r="19" spans="1:8" s="141" customFormat="1" ht="18">
      <c r="A19" s="199"/>
      <c r="B19" s="197" t="s">
        <v>145</v>
      </c>
      <c r="C19" s="201"/>
      <c r="D19" s="201"/>
      <c r="E19" s="202">
        <f>E20+E21+E22</f>
        <v>6666.589999999999</v>
      </c>
      <c r="F19" s="203" t="s">
        <v>20</v>
      </c>
      <c r="G19" s="201"/>
      <c r="H19" s="201"/>
    </row>
    <row r="20" spans="1:8" s="141" customFormat="1" ht="15.75">
      <c r="A20" s="35"/>
      <c r="B20" s="8" t="s">
        <v>21</v>
      </c>
      <c r="C20" s="8"/>
      <c r="D20" s="8"/>
      <c r="E20" s="204">
        <v>2838.5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3820.97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7.12</v>
      </c>
      <c r="F22" s="8" t="s">
        <v>20</v>
      </c>
      <c r="G22" s="30"/>
      <c r="H22" s="30"/>
    </row>
    <row r="23" spans="1:8" s="149" customFormat="1" ht="54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4284.9215604195515</v>
      </c>
      <c r="D25" s="208"/>
      <c r="E25" s="58">
        <v>4493.443</v>
      </c>
      <c r="F25" s="58">
        <v>4065.9100000000003</v>
      </c>
      <c r="G25" s="157">
        <v>539.8428672</v>
      </c>
      <c r="H25" s="59">
        <f>E25-F25</f>
        <v>427.5329999999999</v>
      </c>
    </row>
    <row r="26" spans="1:8" s="143" customFormat="1" ht="18">
      <c r="A26" s="60" t="s">
        <v>36</v>
      </c>
      <c r="B26" s="61" t="s">
        <v>37</v>
      </c>
      <c r="C26" s="210">
        <v>625.91808</v>
      </c>
      <c r="D26" s="211"/>
      <c r="E26" s="63">
        <v>840.457</v>
      </c>
      <c r="F26" s="63">
        <v>760.32</v>
      </c>
      <c r="G26" s="63">
        <v>101.43544320000001</v>
      </c>
      <c r="H26" s="64">
        <f>E26-F26</f>
        <v>80.13699999999994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3659.0034804195516</v>
      </c>
      <c r="D50" s="211"/>
      <c r="E50" s="63">
        <v>3652.986</v>
      </c>
      <c r="F50" s="63">
        <v>3305.59</v>
      </c>
      <c r="G50" s="63">
        <v>438.407424</v>
      </c>
      <c r="H50" s="64">
        <f aca="true" t="shared" si="0" ref="H50:H61">E50-F50</f>
        <v>347.39599999999973</v>
      </c>
    </row>
    <row r="51" spans="1:8" ht="15">
      <c r="A51" s="77" t="s">
        <v>84</v>
      </c>
      <c r="B51" s="78" t="s">
        <v>85</v>
      </c>
      <c r="C51" s="212">
        <v>481.7148726350999</v>
      </c>
      <c r="D51" s="213"/>
      <c r="E51" s="73">
        <v>247.074</v>
      </c>
      <c r="F51" s="73">
        <v>222.83</v>
      </c>
      <c r="G51" s="81">
        <v>29.268096000000003</v>
      </c>
      <c r="H51" s="82">
        <f t="shared" si="0"/>
        <v>24.244</v>
      </c>
    </row>
    <row r="52" spans="1:8" ht="15">
      <c r="A52" s="77" t="s">
        <v>86</v>
      </c>
      <c r="B52" s="78" t="s">
        <v>87</v>
      </c>
      <c r="C52" s="212">
        <v>240.75492824338406</v>
      </c>
      <c r="D52" s="213"/>
      <c r="E52" s="73">
        <v>306.186</v>
      </c>
      <c r="F52" s="73">
        <v>276.89</v>
      </c>
      <c r="G52" s="81">
        <v>37.70058240000001</v>
      </c>
      <c r="H52" s="82">
        <f t="shared" si="0"/>
        <v>29.295999999999992</v>
      </c>
    </row>
    <row r="53" spans="1:8" ht="15">
      <c r="A53" s="77" t="s">
        <v>88</v>
      </c>
      <c r="B53" s="78" t="s">
        <v>89</v>
      </c>
      <c r="C53" s="212">
        <v>59.05766306069233</v>
      </c>
      <c r="D53" s="213"/>
      <c r="E53" s="73">
        <v>57.783</v>
      </c>
      <c r="F53" s="73">
        <v>52.04</v>
      </c>
      <c r="G53" s="81">
        <v>6.958848000000001</v>
      </c>
      <c r="H53" s="82">
        <f t="shared" si="0"/>
        <v>5.743000000000002</v>
      </c>
    </row>
    <row r="54" spans="1:8" ht="15">
      <c r="A54" s="77" t="s">
        <v>90</v>
      </c>
      <c r="B54" s="78" t="s">
        <v>91</v>
      </c>
      <c r="C54" s="212">
        <v>262.96338718535094</v>
      </c>
      <c r="D54" s="213"/>
      <c r="E54" s="73">
        <v>251.724</v>
      </c>
      <c r="F54" s="73">
        <v>227.28</v>
      </c>
      <c r="G54" s="81">
        <v>29.3090304</v>
      </c>
      <c r="H54" s="82">
        <f t="shared" si="0"/>
        <v>24.44399999999999</v>
      </c>
    </row>
    <row r="55" spans="1:8" ht="34.5" customHeight="1">
      <c r="A55" s="77" t="s">
        <v>92</v>
      </c>
      <c r="B55" s="78" t="s">
        <v>93</v>
      </c>
      <c r="C55" s="212">
        <v>769.7130271348598</v>
      </c>
      <c r="D55" s="213"/>
      <c r="E55" s="73">
        <v>964.389</v>
      </c>
      <c r="F55" s="73">
        <v>870.51</v>
      </c>
      <c r="G55" s="81">
        <v>115.1484672</v>
      </c>
      <c r="H55" s="82">
        <f t="shared" si="0"/>
        <v>93.87900000000002</v>
      </c>
    </row>
    <row r="56" spans="1:8" ht="15">
      <c r="A56" s="77" t="s">
        <v>94</v>
      </c>
      <c r="B56" s="78" t="s">
        <v>95</v>
      </c>
      <c r="C56" s="212">
        <v>326.7019947727178</v>
      </c>
      <c r="D56" s="213"/>
      <c r="E56" s="73">
        <v>295.56</v>
      </c>
      <c r="F56" s="73">
        <v>266.72</v>
      </c>
      <c r="G56" s="81">
        <v>36.75909120000001</v>
      </c>
      <c r="H56" s="82">
        <f t="shared" si="0"/>
        <v>28.839999999999975</v>
      </c>
    </row>
    <row r="57" spans="1:8" ht="27.75" customHeight="1">
      <c r="A57" s="77" t="s">
        <v>96</v>
      </c>
      <c r="B57" s="78" t="s">
        <v>97</v>
      </c>
      <c r="C57" s="212">
        <v>107.74394330139434</v>
      </c>
      <c r="D57" s="213"/>
      <c r="E57" s="73">
        <v>154.754</v>
      </c>
      <c r="F57" s="73">
        <v>139.87</v>
      </c>
      <c r="G57" s="81">
        <v>18.707020800000002</v>
      </c>
      <c r="H57" s="82">
        <f t="shared" si="0"/>
        <v>14.883999999999986</v>
      </c>
    </row>
    <row r="58" spans="1:8" s="158" customFormat="1" ht="15">
      <c r="A58" s="77" t="s">
        <v>98</v>
      </c>
      <c r="B58" s="78" t="s">
        <v>99</v>
      </c>
      <c r="C58" s="212">
        <v>264.19887485231106</v>
      </c>
      <c r="D58" s="213"/>
      <c r="E58" s="73">
        <v>256.374</v>
      </c>
      <c r="F58" s="73">
        <v>231.35</v>
      </c>
      <c r="G58" s="81">
        <v>31.069209600000004</v>
      </c>
      <c r="H58" s="82">
        <f t="shared" si="0"/>
        <v>25.02400000000003</v>
      </c>
    </row>
    <row r="59" spans="1:8" s="159" customFormat="1" ht="16.5">
      <c r="A59" s="77" t="s">
        <v>100</v>
      </c>
      <c r="B59" s="78" t="s">
        <v>101</v>
      </c>
      <c r="C59" s="212">
        <v>1143.6869778080625</v>
      </c>
      <c r="D59" s="213"/>
      <c r="E59" s="73">
        <v>1116.486</v>
      </c>
      <c r="F59" s="73">
        <v>1016.07</v>
      </c>
      <c r="G59" s="81">
        <v>133.2005376</v>
      </c>
      <c r="H59" s="82">
        <f t="shared" si="0"/>
        <v>100.41600000000005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>
        <f t="shared" si="0"/>
        <v>0</v>
      </c>
    </row>
    <row r="61" spans="1:8" ht="28.5">
      <c r="A61" s="77" t="s">
        <v>104</v>
      </c>
      <c r="B61" s="78" t="s">
        <v>105</v>
      </c>
      <c r="C61" s="212">
        <v>2.4678114256787937</v>
      </c>
      <c r="D61" s="213"/>
      <c r="E61" s="73">
        <v>2.656</v>
      </c>
      <c r="F61" s="73">
        <v>2.03</v>
      </c>
      <c r="G61" s="81">
        <v>0.28654080000000004</v>
      </c>
      <c r="H61" s="82">
        <f t="shared" si="0"/>
        <v>0.6260000000000003</v>
      </c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46.5" customHeight="1" hidden="1" thickBot="1" thickTop="1">
      <c r="A63" s="216" t="s">
        <v>108</v>
      </c>
      <c r="B63" s="217" t="s">
        <v>109</v>
      </c>
      <c r="C63" s="329" t="e">
        <v>#DIV/0!</v>
      </c>
      <c r="D63" s="330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331">
        <v>6606.6231938749825</v>
      </c>
      <c r="D64" s="332"/>
      <c r="E64" s="166">
        <v>6223.76982</v>
      </c>
      <c r="F64" s="166">
        <v>5677.97618</v>
      </c>
      <c r="G64" s="167">
        <v>251.5828224</v>
      </c>
      <c r="H64" s="168">
        <f>E64-F64</f>
        <v>545.7936400000008</v>
      </c>
    </row>
    <row r="65" spans="1:8" ht="15.75" thickTop="1">
      <c r="A65" s="169"/>
      <c r="B65" s="333" t="s">
        <v>113</v>
      </c>
      <c r="C65" s="223">
        <v>2677.84764213703</v>
      </c>
      <c r="D65" s="224"/>
      <c r="E65" s="225">
        <v>2068.38463</v>
      </c>
      <c r="F65" s="225">
        <v>1841.672</v>
      </c>
      <c r="G65" s="163">
        <v>251.5828224</v>
      </c>
      <c r="H65" s="226">
        <f>E65-F65</f>
        <v>226.71263</v>
      </c>
    </row>
    <row r="66" spans="1:8" ht="15">
      <c r="A66" s="101"/>
      <c r="B66" s="102" t="s">
        <v>114</v>
      </c>
      <c r="C66" s="227">
        <v>1212.118580906447</v>
      </c>
      <c r="D66" s="228"/>
      <c r="E66" s="229">
        <v>1137.52918</v>
      </c>
      <c r="F66" s="229">
        <v>1037.409</v>
      </c>
      <c r="G66" s="81"/>
      <c r="H66" s="179">
        <f>E66-F66</f>
        <v>100.12017999999989</v>
      </c>
    </row>
    <row r="67" spans="1:8" ht="15">
      <c r="A67" s="101"/>
      <c r="B67" s="102" t="s">
        <v>115</v>
      </c>
      <c r="C67" s="227">
        <v>696.5896225118511</v>
      </c>
      <c r="D67" s="228"/>
      <c r="E67" s="229">
        <v>1004.91826</v>
      </c>
      <c r="F67" s="229">
        <v>910.513</v>
      </c>
      <c r="G67" s="119"/>
      <c r="H67" s="179">
        <f>E67-F67</f>
        <v>94.40526</v>
      </c>
    </row>
    <row r="68" spans="1:8" ht="15">
      <c r="A68" s="101"/>
      <c r="B68" s="102" t="s">
        <v>116</v>
      </c>
      <c r="C68" s="227">
        <v>858.5676015644158</v>
      </c>
      <c r="D68" s="228"/>
      <c r="E68" s="229">
        <v>1344.75014</v>
      </c>
      <c r="F68" s="229">
        <v>1221.204</v>
      </c>
      <c r="G68" s="119"/>
      <c r="H68" s="179">
        <f>E68-F68</f>
        <v>123.54614000000015</v>
      </c>
    </row>
    <row r="69" spans="1:8" ht="15.75" thickBot="1">
      <c r="A69" s="105"/>
      <c r="B69" s="106" t="s">
        <v>117</v>
      </c>
      <c r="C69" s="227">
        <v>1161.4997467552387</v>
      </c>
      <c r="D69" s="228"/>
      <c r="E69" s="230">
        <v>668.18761</v>
      </c>
      <c r="F69" s="230">
        <v>667.17818</v>
      </c>
      <c r="G69" s="231"/>
      <c r="H69" s="232">
        <f>71.55728-13.19315</f>
        <v>58.36413</v>
      </c>
    </row>
    <row r="70" spans="1:8" ht="19.5" customHeight="1" thickBot="1" thickTop="1">
      <c r="A70" s="109" t="s">
        <v>118</v>
      </c>
      <c r="B70" s="233" t="s">
        <v>119</v>
      </c>
      <c r="C70" s="221">
        <v>10891.544754294533</v>
      </c>
      <c r="D70" s="222"/>
      <c r="E70" s="234">
        <v>10717.21282</v>
      </c>
      <c r="F70" s="234">
        <v>9743.88618</v>
      </c>
      <c r="G70" s="234">
        <v>791.4256895999999</v>
      </c>
      <c r="H70" s="235">
        <f>H25+H64</f>
        <v>973.3266400000007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36.3159</v>
      </c>
      <c r="F71" s="234">
        <v>32.84928</v>
      </c>
      <c r="G71" s="234">
        <v>0</v>
      </c>
      <c r="H71" s="235">
        <f>E71-F71</f>
        <v>3.466619999999999</v>
      </c>
    </row>
    <row r="72" spans="1:8" ht="15.75" thickTop="1">
      <c r="A72" s="176"/>
      <c r="B72" s="170" t="s">
        <v>122</v>
      </c>
      <c r="C72" s="223"/>
      <c r="D72" s="224"/>
      <c r="E72" s="117">
        <v>36.3159</v>
      </c>
      <c r="F72" s="117">
        <v>32.84928</v>
      </c>
      <c r="G72" s="117"/>
      <c r="H72" s="226">
        <f>E72-F72</f>
        <v>3.466619999999999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110.409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13.19847</v>
      </c>
      <c r="D75" s="239"/>
      <c r="E75" s="240">
        <v>13.19847</v>
      </c>
      <c r="F75" s="240">
        <v>13.19847</v>
      </c>
      <c r="G75" s="334"/>
      <c r="H75" s="335">
        <f>E75-F75</f>
        <v>0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7643.3832600000005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3266.033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4366.763640000001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10.58662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9">
    <tabColor theme="9" tint="0.39998000860214233"/>
  </sheetPr>
  <dimension ref="A1:H104"/>
  <sheetViews>
    <sheetView zoomScaleSheetLayoutView="80" zoomScalePageLayoutView="0" workbookViewId="0" topLeftCell="A1">
      <selection activeCell="F75" sqref="F75"/>
    </sheetView>
  </sheetViews>
  <sheetFormatPr defaultColWidth="9.140625" defaultRowHeight="15"/>
  <cols>
    <col min="1" max="1" width="8.57421875" style="187" customWidth="1"/>
    <col min="2" max="2" width="55.7109375" style="140" customWidth="1"/>
    <col min="3" max="3" width="15.28125" style="140" customWidth="1"/>
    <col min="4" max="4" width="8.8515625" style="140" customWidth="1"/>
    <col min="5" max="5" width="19.28125" style="140" customWidth="1"/>
    <col min="6" max="6" width="23.8515625" style="140" customWidth="1"/>
    <col min="7" max="7" width="19.28125" style="140" customWidth="1"/>
    <col min="8" max="8" width="14.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Лауреатов</v>
      </c>
      <c r="E2" s="5"/>
      <c r="F2" s="5" t="s">
        <v>3</v>
      </c>
      <c r="G2" s="7">
        <f>D17</f>
        <v>31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158</v>
      </c>
      <c r="C17" s="31" t="s">
        <v>3</v>
      </c>
      <c r="D17" s="31">
        <v>31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4312.320000000001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1666.14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2639.42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6.76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6067.182219777549</v>
      </c>
      <c r="D25" s="57">
        <v>0</v>
      </c>
      <c r="E25" s="58">
        <v>5280.169</v>
      </c>
      <c r="F25" s="58">
        <v>4975.139999999999</v>
      </c>
      <c r="G25" s="157">
        <v>174.054228</v>
      </c>
      <c r="H25" s="59">
        <f>E25-F25</f>
        <v>305.02900000000045</v>
      </c>
    </row>
    <row r="26" spans="1:8" s="143" customFormat="1" ht="18">
      <c r="A26" s="60" t="s">
        <v>36</v>
      </c>
      <c r="B26" s="61" t="s">
        <v>37</v>
      </c>
      <c r="C26" s="62">
        <v>585.8</v>
      </c>
      <c r="D26" s="62"/>
      <c r="E26" s="63">
        <v>1288.129</v>
      </c>
      <c r="F26" s="63">
        <v>1194.53</v>
      </c>
      <c r="G26" s="313">
        <v>42.222491999999995</v>
      </c>
      <c r="H26" s="64">
        <f>E26-F26</f>
        <v>93.59899999999993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5481.382219777549</v>
      </c>
      <c r="D50" s="62">
        <v>0</v>
      </c>
      <c r="E50" s="63">
        <v>3992.04</v>
      </c>
      <c r="F50" s="63">
        <v>3780.6099999999997</v>
      </c>
      <c r="G50" s="63">
        <v>131.83173599999998</v>
      </c>
      <c r="H50" s="64">
        <f aca="true" t="shared" si="0" ref="H50:H61">E50-F50</f>
        <v>211.4300000000003</v>
      </c>
    </row>
    <row r="51" spans="1:8" s="158" customFormat="1" ht="15">
      <c r="A51" s="77" t="s">
        <v>84</v>
      </c>
      <c r="B51" s="78" t="s">
        <v>85</v>
      </c>
      <c r="C51" s="79">
        <v>561.3838680407866</v>
      </c>
      <c r="D51" s="80"/>
      <c r="E51" s="73">
        <v>260.932</v>
      </c>
      <c r="F51" s="73">
        <v>247.26</v>
      </c>
      <c r="G51" s="81">
        <v>8.486808</v>
      </c>
      <c r="H51" s="82">
        <f t="shared" si="0"/>
        <v>13.672000000000025</v>
      </c>
    </row>
    <row r="52" spans="1:8" s="158" customFormat="1" ht="15">
      <c r="A52" s="77" t="s">
        <v>86</v>
      </c>
      <c r="B52" s="78" t="s">
        <v>87</v>
      </c>
      <c r="C52" s="79">
        <v>359.18511188476634</v>
      </c>
      <c r="D52" s="80"/>
      <c r="E52" s="73">
        <v>341.163</v>
      </c>
      <c r="F52" s="73">
        <v>322.89</v>
      </c>
      <c r="G52" s="81">
        <v>11.709803999999998</v>
      </c>
      <c r="H52" s="82">
        <f t="shared" si="0"/>
        <v>18.273000000000025</v>
      </c>
    </row>
    <row r="53" spans="1:8" s="158" customFormat="1" ht="15">
      <c r="A53" s="77" t="s">
        <v>88</v>
      </c>
      <c r="B53" s="78" t="s">
        <v>89</v>
      </c>
      <c r="C53" s="79">
        <v>69.85034156398183</v>
      </c>
      <c r="D53" s="80"/>
      <c r="E53" s="73">
        <v>64.329</v>
      </c>
      <c r="F53" s="73">
        <v>60.7</v>
      </c>
      <c r="G53" s="81">
        <v>2.1776999999999997</v>
      </c>
      <c r="H53" s="82">
        <f t="shared" si="0"/>
        <v>3.6289999999999907</v>
      </c>
    </row>
    <row r="54" spans="1:8" s="158" customFormat="1" ht="15">
      <c r="A54" s="77" t="s">
        <v>90</v>
      </c>
      <c r="B54" s="78" t="s">
        <v>91</v>
      </c>
      <c r="C54" s="79">
        <v>321.6554378064287</v>
      </c>
      <c r="D54" s="80"/>
      <c r="E54" s="73">
        <v>273.942</v>
      </c>
      <c r="F54" s="73">
        <v>259.2</v>
      </c>
      <c r="G54" s="81">
        <v>8.909904</v>
      </c>
      <c r="H54" s="82">
        <f t="shared" si="0"/>
        <v>14.742000000000019</v>
      </c>
    </row>
    <row r="55" spans="1:8" s="158" customFormat="1" ht="30.75" customHeight="1">
      <c r="A55" s="77" t="s">
        <v>92</v>
      </c>
      <c r="B55" s="78" t="s">
        <v>93</v>
      </c>
      <c r="C55" s="79">
        <v>1668.003666156653</v>
      </c>
      <c r="D55" s="80"/>
      <c r="E55" s="73">
        <v>1089.987</v>
      </c>
      <c r="F55" s="73">
        <v>1032.84</v>
      </c>
      <c r="G55" s="81">
        <v>35.602284</v>
      </c>
      <c r="H55" s="82">
        <f t="shared" si="0"/>
        <v>57.14700000000016</v>
      </c>
    </row>
    <row r="56" spans="1:8" s="158" customFormat="1" ht="15">
      <c r="A56" s="77" t="s">
        <v>94</v>
      </c>
      <c r="B56" s="78" t="s">
        <v>95</v>
      </c>
      <c r="C56" s="79">
        <v>171.47328576342366</v>
      </c>
      <c r="D56" s="80"/>
      <c r="E56" s="73">
        <v>150.343</v>
      </c>
      <c r="F56" s="73">
        <v>142.29</v>
      </c>
      <c r="G56" s="81">
        <v>5.151816</v>
      </c>
      <c r="H56" s="82">
        <f t="shared" si="0"/>
        <v>8.052999999999997</v>
      </c>
    </row>
    <row r="57" spans="1:8" s="158" customFormat="1" ht="28.5">
      <c r="A57" s="77" t="s">
        <v>96</v>
      </c>
      <c r="B57" s="78" t="s">
        <v>97</v>
      </c>
      <c r="C57" s="79">
        <v>137.31237437384274</v>
      </c>
      <c r="D57" s="80"/>
      <c r="E57" s="73">
        <v>196.602</v>
      </c>
      <c r="F57" s="73">
        <v>186.07</v>
      </c>
      <c r="G57" s="81">
        <v>6.184668</v>
      </c>
      <c r="H57" s="82">
        <f t="shared" si="0"/>
        <v>10.53200000000001</v>
      </c>
    </row>
    <row r="58" spans="1:8" s="158" customFormat="1" ht="15">
      <c r="A58" s="77" t="s">
        <v>98</v>
      </c>
      <c r="B58" s="78" t="s">
        <v>99</v>
      </c>
      <c r="C58" s="79">
        <v>477.90455459971656</v>
      </c>
      <c r="D58" s="80"/>
      <c r="E58" s="73">
        <v>367.184</v>
      </c>
      <c r="F58" s="73">
        <v>347.76</v>
      </c>
      <c r="G58" s="81">
        <v>12.145344</v>
      </c>
      <c r="H58" s="82">
        <f t="shared" si="0"/>
        <v>19.424000000000035</v>
      </c>
    </row>
    <row r="59" spans="1:8" s="158" customFormat="1" ht="15">
      <c r="A59" s="77" t="s">
        <v>100</v>
      </c>
      <c r="B59" s="78" t="s">
        <v>101</v>
      </c>
      <c r="C59" s="79">
        <v>1711.9729744546653</v>
      </c>
      <c r="D59" s="80"/>
      <c r="E59" s="73">
        <v>1244.667</v>
      </c>
      <c r="F59" s="73">
        <v>1179.11</v>
      </c>
      <c r="G59" s="81">
        <v>41.3763</v>
      </c>
      <c r="H59" s="82">
        <f t="shared" si="0"/>
        <v>65.55700000000002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2.6406051332844993</v>
      </c>
      <c r="D61" s="80"/>
      <c r="E61" s="73">
        <v>2.891</v>
      </c>
      <c r="F61" s="73">
        <v>2.49</v>
      </c>
      <c r="G61" s="81">
        <v>0.087108</v>
      </c>
      <c r="H61" s="82">
        <f t="shared" si="0"/>
        <v>0.4009999999999998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650.9524920000001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7469.656123923414</v>
      </c>
      <c r="D64" s="114"/>
      <c r="E64" s="112">
        <v>7438.23283</v>
      </c>
      <c r="F64" s="112">
        <v>7091.7378499999995</v>
      </c>
      <c r="G64" s="112">
        <v>76.480824</v>
      </c>
      <c r="H64" s="235">
        <f>E64-F64</f>
        <v>346.4949800000004</v>
      </c>
    </row>
    <row r="65" spans="1:8" ht="15.75" thickTop="1">
      <c r="A65" s="176"/>
      <c r="B65" s="170" t="s">
        <v>113</v>
      </c>
      <c r="C65" s="171">
        <v>2795.4981542984096</v>
      </c>
      <c r="D65" s="171"/>
      <c r="E65" s="163">
        <v>2293.71895</v>
      </c>
      <c r="F65" s="163">
        <v>2143.29</v>
      </c>
      <c r="G65" s="172">
        <v>76.480824</v>
      </c>
      <c r="H65" s="226">
        <f>E65-F65</f>
        <v>150.42895</v>
      </c>
    </row>
    <row r="66" spans="1:8" ht="15">
      <c r="A66" s="115"/>
      <c r="B66" s="116" t="s">
        <v>114</v>
      </c>
      <c r="C66" s="103">
        <v>1286.0281995842433</v>
      </c>
      <c r="D66" s="103"/>
      <c r="E66" s="81">
        <v>1405.41976</v>
      </c>
      <c r="F66" s="81">
        <v>1335.793</v>
      </c>
      <c r="G66" s="81"/>
      <c r="H66" s="179">
        <f>E66-F66</f>
        <v>69.6267600000001</v>
      </c>
    </row>
    <row r="67" spans="1:8" ht="15">
      <c r="A67" s="115"/>
      <c r="B67" s="116" t="s">
        <v>115</v>
      </c>
      <c r="C67" s="103">
        <v>1110.9822229444367</v>
      </c>
      <c r="D67" s="103"/>
      <c r="E67" s="81">
        <v>1235.52936</v>
      </c>
      <c r="F67" s="81">
        <v>1169.74</v>
      </c>
      <c r="G67" s="81"/>
      <c r="H67" s="179">
        <f>E67-F67</f>
        <v>65.78935999999999</v>
      </c>
    </row>
    <row r="68" spans="1:8" ht="15">
      <c r="A68" s="115"/>
      <c r="B68" s="116" t="s">
        <v>116</v>
      </c>
      <c r="C68" s="103">
        <v>1492.35971949985</v>
      </c>
      <c r="D68" s="103"/>
      <c r="E68" s="81">
        <v>1656.35698</v>
      </c>
      <c r="F68" s="81">
        <v>1574.283</v>
      </c>
      <c r="G68" s="81"/>
      <c r="H68" s="179">
        <f>E68-F68</f>
        <v>82.07398000000012</v>
      </c>
    </row>
    <row r="69" spans="1:8" ht="15.75" thickBot="1">
      <c r="A69" s="318"/>
      <c r="B69" s="174" t="s">
        <v>117</v>
      </c>
      <c r="C69" s="103">
        <v>784.7878275964752</v>
      </c>
      <c r="D69" s="103"/>
      <c r="E69" s="88">
        <v>847.20778</v>
      </c>
      <c r="F69" s="88">
        <v>868.6318500000001</v>
      </c>
      <c r="G69" s="88"/>
      <c r="H69" s="232">
        <f>55.38277804+45.56796</f>
        <v>100.95073804</v>
      </c>
    </row>
    <row r="70" spans="1:8" ht="19.5" thickBot="1" thickTop="1">
      <c r="A70" s="165" t="s">
        <v>118</v>
      </c>
      <c r="B70" s="234" t="s">
        <v>119</v>
      </c>
      <c r="C70" s="114">
        <v>13536.838343700963</v>
      </c>
      <c r="D70" s="114"/>
      <c r="E70" s="112">
        <v>12718.401829999999</v>
      </c>
      <c r="F70" s="112">
        <v>12066.877849999999</v>
      </c>
      <c r="G70" s="112">
        <v>250.535052</v>
      </c>
      <c r="H70" s="235">
        <f>H25+H64</f>
        <v>651.5239800000008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34.88396</v>
      </c>
      <c r="F71" s="112">
        <v>35.10376</v>
      </c>
      <c r="G71" s="112">
        <v>0</v>
      </c>
      <c r="H71" s="235">
        <f>E71-F71</f>
        <v>-0.21979999999999933</v>
      </c>
    </row>
    <row r="72" spans="1:8" ht="15.75" thickTop="1">
      <c r="A72" s="115"/>
      <c r="B72" s="116" t="s">
        <v>122</v>
      </c>
      <c r="C72" s="118"/>
      <c r="D72" s="118"/>
      <c r="E72" s="81">
        <v>34.88396</v>
      </c>
      <c r="F72" s="81">
        <v>35.10376</v>
      </c>
      <c r="G72" s="119"/>
      <c r="H72" s="179">
        <f>E72-F72</f>
        <v>-0.21979999999999933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117.456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145.69689</v>
      </c>
      <c r="D75" s="114"/>
      <c r="E75" s="323">
        <v>145.69689</v>
      </c>
      <c r="F75" s="323">
        <v>145.69689</v>
      </c>
      <c r="G75" s="180"/>
      <c r="H75" s="234">
        <f>E75-F75</f>
        <v>0</v>
      </c>
    </row>
    <row r="76" spans="1:8" ht="20.2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4963.624180000002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1971.1690000000006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2985.9149800000005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6.5402000000000005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30">
    <tabColor rgb="FFFF0000"/>
  </sheetPr>
  <dimension ref="A1:H104"/>
  <sheetViews>
    <sheetView zoomScaleSheetLayoutView="80" zoomScalePageLayoutView="0" workbookViewId="0" topLeftCell="A1">
      <selection activeCell="L78" sqref="L78"/>
    </sheetView>
  </sheetViews>
  <sheetFormatPr defaultColWidth="9.140625" defaultRowHeight="15"/>
  <cols>
    <col min="1" max="1" width="8.57421875" style="187" customWidth="1"/>
    <col min="2" max="2" width="57.140625" style="140" customWidth="1"/>
    <col min="3" max="3" width="15.28125" style="140" customWidth="1"/>
    <col min="4" max="4" width="12.00390625" style="140" customWidth="1"/>
    <col min="5" max="5" width="15.28125" style="140" customWidth="1"/>
    <col min="6" max="6" width="23.8515625" style="140" customWidth="1"/>
    <col min="7" max="7" width="19.421875" style="140" customWidth="1"/>
    <col min="8" max="8" width="17.14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Лауреатов</v>
      </c>
      <c r="E2" s="5"/>
      <c r="F2" s="5" t="s">
        <v>3</v>
      </c>
      <c r="G2" s="7">
        <f>D17</f>
        <v>48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158</v>
      </c>
      <c r="C17" s="31" t="s">
        <v>3</v>
      </c>
      <c r="D17" s="31">
        <v>48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239.31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14.51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224.8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/>
      <c r="F22" s="8" t="s">
        <v>20</v>
      </c>
      <c r="G22" s="30"/>
      <c r="H22" s="30"/>
    </row>
    <row r="23" spans="1:8" s="149" customFormat="1" ht="84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159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0</v>
      </c>
      <c r="D25" s="57">
        <v>0</v>
      </c>
      <c r="E25" s="58">
        <v>0</v>
      </c>
      <c r="F25" s="58">
        <v>0</v>
      </c>
      <c r="G25" s="336">
        <v>0</v>
      </c>
      <c r="H25" s="59">
        <f>E25-F25</f>
        <v>0</v>
      </c>
    </row>
    <row r="26" spans="1:8" s="143" customFormat="1" ht="18">
      <c r="A26" s="60" t="s">
        <v>36</v>
      </c>
      <c r="B26" s="61" t="s">
        <v>37</v>
      </c>
      <c r="C26" s="337"/>
      <c r="D26" s="337"/>
      <c r="E26" s="338"/>
      <c r="F26" s="338"/>
      <c r="G26" s="338">
        <v>0</v>
      </c>
      <c r="H26" s="64">
        <f>E26-F26</f>
        <v>0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28.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0</v>
      </c>
      <c r="D50" s="62">
        <v>0</v>
      </c>
      <c r="E50" s="63">
        <v>0</v>
      </c>
      <c r="F50" s="63">
        <v>0</v>
      </c>
      <c r="G50" s="63">
        <v>0</v>
      </c>
      <c r="H50" s="64">
        <f aca="true" t="shared" si="0" ref="H50:H61">E50-F50</f>
        <v>0</v>
      </c>
    </row>
    <row r="51" spans="1:8" s="158" customFormat="1" ht="15">
      <c r="A51" s="77" t="s">
        <v>84</v>
      </c>
      <c r="B51" s="78" t="s">
        <v>85</v>
      </c>
      <c r="C51" s="339">
        <v>0</v>
      </c>
      <c r="D51" s="340"/>
      <c r="E51" s="341"/>
      <c r="F51" s="341"/>
      <c r="G51" s="342">
        <v>0</v>
      </c>
      <c r="H51" s="82">
        <f t="shared" si="0"/>
        <v>0</v>
      </c>
    </row>
    <row r="52" spans="1:8" s="158" customFormat="1" ht="15">
      <c r="A52" s="77" t="s">
        <v>86</v>
      </c>
      <c r="B52" s="78" t="s">
        <v>87</v>
      </c>
      <c r="C52" s="339">
        <v>0</v>
      </c>
      <c r="D52" s="340"/>
      <c r="E52" s="341"/>
      <c r="F52" s="341"/>
      <c r="G52" s="342">
        <v>0</v>
      </c>
      <c r="H52" s="82">
        <f t="shared" si="0"/>
        <v>0</v>
      </c>
    </row>
    <row r="53" spans="1:8" s="158" customFormat="1" ht="15">
      <c r="A53" s="77" t="s">
        <v>88</v>
      </c>
      <c r="B53" s="78" t="s">
        <v>89</v>
      </c>
      <c r="C53" s="339">
        <v>0</v>
      </c>
      <c r="D53" s="340"/>
      <c r="E53" s="341"/>
      <c r="F53" s="341"/>
      <c r="G53" s="342">
        <v>0</v>
      </c>
      <c r="H53" s="82">
        <f t="shared" si="0"/>
        <v>0</v>
      </c>
    </row>
    <row r="54" spans="1:8" s="158" customFormat="1" ht="15">
      <c r="A54" s="77" t="s">
        <v>90</v>
      </c>
      <c r="B54" s="78" t="s">
        <v>91</v>
      </c>
      <c r="C54" s="339">
        <v>0</v>
      </c>
      <c r="D54" s="340"/>
      <c r="E54" s="341"/>
      <c r="F54" s="341"/>
      <c r="G54" s="342">
        <v>0</v>
      </c>
      <c r="H54" s="82">
        <f t="shared" si="0"/>
        <v>0</v>
      </c>
    </row>
    <row r="55" spans="1:8" s="158" customFormat="1" ht="30.75" customHeight="1">
      <c r="A55" s="77" t="s">
        <v>92</v>
      </c>
      <c r="B55" s="78" t="s">
        <v>93</v>
      </c>
      <c r="C55" s="339">
        <v>0</v>
      </c>
      <c r="D55" s="340"/>
      <c r="E55" s="341"/>
      <c r="F55" s="341"/>
      <c r="G55" s="342">
        <v>0</v>
      </c>
      <c r="H55" s="82">
        <f t="shared" si="0"/>
        <v>0</v>
      </c>
    </row>
    <row r="56" spans="1:8" s="158" customFormat="1" ht="15">
      <c r="A56" s="77" t="s">
        <v>94</v>
      </c>
      <c r="B56" s="78" t="s">
        <v>95</v>
      </c>
      <c r="C56" s="339">
        <v>0</v>
      </c>
      <c r="D56" s="340"/>
      <c r="E56" s="341"/>
      <c r="F56" s="341"/>
      <c r="G56" s="342">
        <v>0</v>
      </c>
      <c r="H56" s="82">
        <f t="shared" si="0"/>
        <v>0</v>
      </c>
    </row>
    <row r="57" spans="1:8" s="158" customFormat="1" ht="28.5">
      <c r="A57" s="77" t="s">
        <v>96</v>
      </c>
      <c r="B57" s="78" t="s">
        <v>97</v>
      </c>
      <c r="C57" s="339">
        <v>0</v>
      </c>
      <c r="D57" s="340"/>
      <c r="E57" s="341"/>
      <c r="F57" s="341"/>
      <c r="G57" s="342">
        <v>0</v>
      </c>
      <c r="H57" s="82">
        <f t="shared" si="0"/>
        <v>0</v>
      </c>
    </row>
    <row r="58" spans="1:8" s="158" customFormat="1" ht="15">
      <c r="A58" s="77" t="s">
        <v>98</v>
      </c>
      <c r="B58" s="78" t="s">
        <v>99</v>
      </c>
      <c r="C58" s="339">
        <v>0</v>
      </c>
      <c r="D58" s="340"/>
      <c r="E58" s="341"/>
      <c r="F58" s="341"/>
      <c r="G58" s="342">
        <v>0</v>
      </c>
      <c r="H58" s="82">
        <f t="shared" si="0"/>
        <v>0</v>
      </c>
    </row>
    <row r="59" spans="1:8" s="158" customFormat="1" ht="15">
      <c r="A59" s="77" t="s">
        <v>100</v>
      </c>
      <c r="B59" s="78" t="s">
        <v>101</v>
      </c>
      <c r="C59" s="339">
        <v>0</v>
      </c>
      <c r="D59" s="340"/>
      <c r="E59" s="341"/>
      <c r="F59" s="341"/>
      <c r="G59" s="342">
        <v>0</v>
      </c>
      <c r="H59" s="82">
        <f t="shared" si="0"/>
        <v>0</v>
      </c>
    </row>
    <row r="60" spans="1:8" s="158" customFormat="1" ht="28.5">
      <c r="A60" s="77" t="s">
        <v>102</v>
      </c>
      <c r="B60" s="78" t="s">
        <v>103</v>
      </c>
      <c r="C60" s="339"/>
      <c r="D60" s="340"/>
      <c r="E60" s="341"/>
      <c r="F60" s="341"/>
      <c r="G60" s="342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339">
        <v>0</v>
      </c>
      <c r="D61" s="340"/>
      <c r="E61" s="341"/>
      <c r="F61" s="341"/>
      <c r="G61" s="342">
        <v>0</v>
      </c>
      <c r="H61" s="82">
        <f t="shared" si="0"/>
        <v>0</v>
      </c>
    </row>
    <row r="62" spans="1:8" s="158" customFormat="1" ht="15.75" thickBot="1">
      <c r="A62" s="83" t="s">
        <v>106</v>
      </c>
      <c r="B62" s="84" t="s">
        <v>107</v>
      </c>
      <c r="C62" s="339"/>
      <c r="D62" s="340"/>
      <c r="E62" s="87"/>
      <c r="F62" s="87"/>
      <c r="G62" s="343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44">
        <v>0</v>
      </c>
      <c r="D63" s="344"/>
      <c r="E63" s="219" t="s">
        <v>110</v>
      </c>
      <c r="F63" s="219"/>
      <c r="G63" s="345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0</v>
      </c>
      <c r="D64" s="114"/>
      <c r="E64" s="112">
        <v>0</v>
      </c>
      <c r="F64" s="112">
        <v>0</v>
      </c>
      <c r="G64" s="112">
        <v>0</v>
      </c>
      <c r="H64" s="235">
        <f aca="true" t="shared" si="1" ref="H64:H69">E64-F64</f>
        <v>0</v>
      </c>
    </row>
    <row r="65" spans="1:8" ht="15.75" thickTop="1">
      <c r="A65" s="176"/>
      <c r="B65" s="170" t="s">
        <v>113</v>
      </c>
      <c r="C65" s="177">
        <v>0</v>
      </c>
      <c r="D65" s="177"/>
      <c r="E65" s="346"/>
      <c r="F65" s="346"/>
      <c r="G65" s="346">
        <v>0</v>
      </c>
      <c r="H65" s="226">
        <f t="shared" si="1"/>
        <v>0</v>
      </c>
    </row>
    <row r="66" spans="1:8" ht="15">
      <c r="A66" s="115"/>
      <c r="B66" s="116" t="s">
        <v>114</v>
      </c>
      <c r="C66" s="118"/>
      <c r="D66" s="118"/>
      <c r="E66" s="342"/>
      <c r="F66" s="342"/>
      <c r="G66" s="81"/>
      <c r="H66" s="179">
        <f t="shared" si="1"/>
        <v>0</v>
      </c>
    </row>
    <row r="67" spans="1:8" ht="15">
      <c r="A67" s="115"/>
      <c r="B67" s="116" t="s">
        <v>115</v>
      </c>
      <c r="C67" s="118"/>
      <c r="D67" s="118"/>
      <c r="E67" s="342"/>
      <c r="F67" s="342"/>
      <c r="G67" s="81"/>
      <c r="H67" s="179">
        <f t="shared" si="1"/>
        <v>0</v>
      </c>
    </row>
    <row r="68" spans="1:8" ht="15">
      <c r="A68" s="115"/>
      <c r="B68" s="116" t="s">
        <v>116</v>
      </c>
      <c r="C68" s="118"/>
      <c r="D68" s="118"/>
      <c r="E68" s="342"/>
      <c r="F68" s="342"/>
      <c r="G68" s="81"/>
      <c r="H68" s="179">
        <f t="shared" si="1"/>
        <v>0</v>
      </c>
    </row>
    <row r="69" spans="1:8" ht="15.75" thickBot="1">
      <c r="A69" s="318"/>
      <c r="B69" s="174" t="s">
        <v>117</v>
      </c>
      <c r="C69" s="347"/>
      <c r="D69" s="347"/>
      <c r="E69" s="88"/>
      <c r="F69" s="88"/>
      <c r="G69" s="88"/>
      <c r="H69" s="232">
        <f t="shared" si="1"/>
        <v>0</v>
      </c>
    </row>
    <row r="70" spans="1:8" ht="19.5" thickBot="1" thickTop="1">
      <c r="A70" s="165" t="s">
        <v>118</v>
      </c>
      <c r="B70" s="234" t="s">
        <v>119</v>
      </c>
      <c r="C70" s="114">
        <v>0</v>
      </c>
      <c r="D70" s="114"/>
      <c r="E70" s="112">
        <v>0</v>
      </c>
      <c r="F70" s="112">
        <v>0</v>
      </c>
      <c r="G70" s="112">
        <v>0</v>
      </c>
      <c r="H70" s="235">
        <f>H25+H64</f>
        <v>0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0</v>
      </c>
      <c r="F71" s="112">
        <v>0</v>
      </c>
      <c r="G71" s="112">
        <v>0</v>
      </c>
      <c r="H71" s="235">
        <f>E71-F71</f>
        <v>0</v>
      </c>
    </row>
    <row r="72" spans="1:8" ht="15.75" thickTop="1">
      <c r="A72" s="115"/>
      <c r="B72" s="116" t="s">
        <v>122</v>
      </c>
      <c r="C72" s="118"/>
      <c r="D72" s="118"/>
      <c r="E72" s="342"/>
      <c r="F72" s="342"/>
      <c r="G72" s="119"/>
      <c r="H72" s="179">
        <f>E72-F72</f>
        <v>0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32.25" customHeight="1" thickBot="1">
      <c r="A74" s="120"/>
      <c r="B74" s="121" t="s">
        <v>124</v>
      </c>
      <c r="C74" s="122"/>
      <c r="D74" s="123"/>
      <c r="E74" s="319"/>
      <c r="F74" s="125" t="s">
        <v>110</v>
      </c>
      <c r="G74" s="126"/>
      <c r="H74" s="127"/>
    </row>
    <row r="75" spans="1:8" ht="33" customHeight="1" thickBot="1" thickTop="1">
      <c r="A75" s="109" t="s">
        <v>125</v>
      </c>
      <c r="B75" s="110" t="s">
        <v>126</v>
      </c>
      <c r="C75" s="114">
        <v>0</v>
      </c>
      <c r="D75" s="114"/>
      <c r="E75" s="348"/>
      <c r="F75" s="348"/>
      <c r="G75" s="180"/>
      <c r="H75" s="166">
        <f>E75-F75</f>
        <v>0</v>
      </c>
    </row>
    <row r="76" spans="1:8" ht="25.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239.31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14.51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224.8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E22+H71</f>
        <v>0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1">
    <tabColor theme="7" tint="0.39998000860214233"/>
  </sheetPr>
  <dimension ref="A1:H104"/>
  <sheetViews>
    <sheetView zoomScale="85" zoomScaleNormal="85"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7.28125" style="140" customWidth="1"/>
    <col min="4" max="4" width="10.7109375" style="140" customWidth="1"/>
    <col min="5" max="5" width="18.28125" style="140" customWidth="1"/>
    <col min="6" max="6" width="25.28125" style="140" customWidth="1"/>
    <col min="7" max="7" width="23.140625" style="140" customWidth="1"/>
    <col min="8" max="8" width="28.0039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158</v>
      </c>
      <c r="E2" s="5"/>
      <c r="F2" s="5" t="s">
        <v>3</v>
      </c>
      <c r="G2" s="7">
        <f>D17</f>
        <v>75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143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4" customHeight="1">
      <c r="A13" s="26"/>
      <c r="B13" s="26"/>
      <c r="C13" s="26"/>
      <c r="D13" s="26"/>
      <c r="E13" s="26"/>
      <c r="F13" s="26"/>
      <c r="G13" s="26"/>
      <c r="H13" s="26"/>
    </row>
    <row r="14" spans="1:8" ht="14.2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</v>
      </c>
      <c r="B17" s="197" t="s">
        <v>158</v>
      </c>
      <c r="C17" s="196" t="s">
        <v>3</v>
      </c>
      <c r="D17" s="196">
        <v>75</v>
      </c>
      <c r="E17" s="196" t="s">
        <v>18</v>
      </c>
      <c r="F17" s="196"/>
      <c r="G17" s="196"/>
      <c r="H17" s="198"/>
    </row>
    <row r="18" spans="1:8" s="141" customFormat="1" ht="10.5" customHeight="1">
      <c r="A18" s="199"/>
      <c r="B18" s="200"/>
      <c r="C18" s="201"/>
      <c r="D18" s="201"/>
      <c r="E18" s="201"/>
      <c r="F18" s="201"/>
      <c r="G18" s="201"/>
      <c r="H18" s="201"/>
    </row>
    <row r="19" spans="1:8" s="141" customFormat="1" ht="18">
      <c r="A19" s="199"/>
      <c r="B19" s="197" t="s">
        <v>145</v>
      </c>
      <c r="C19" s="201"/>
      <c r="D19" s="201"/>
      <c r="E19" s="202">
        <f>E20+E21+E22</f>
        <v>6789.19</v>
      </c>
      <c r="F19" s="203" t="s">
        <v>20</v>
      </c>
      <c r="G19" s="201"/>
      <c r="H19" s="201"/>
    </row>
    <row r="20" spans="1:8" s="141" customFormat="1" ht="15.75">
      <c r="A20" s="199"/>
      <c r="B20" s="201" t="s">
        <v>21</v>
      </c>
      <c r="C20" s="201"/>
      <c r="D20" s="201"/>
      <c r="E20" s="349">
        <v>2992.14</v>
      </c>
      <c r="F20" s="201" t="s">
        <v>20</v>
      </c>
      <c r="G20" s="201"/>
      <c r="H20" s="201"/>
    </row>
    <row r="21" spans="1:8" s="141" customFormat="1" ht="15.75">
      <c r="A21" s="41"/>
      <c r="B21" s="8" t="s">
        <v>22</v>
      </c>
      <c r="C21" s="8"/>
      <c r="D21" s="8"/>
      <c r="E21" s="204">
        <v>3787.02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10.03</v>
      </c>
      <c r="F22" s="8" t="s">
        <v>20</v>
      </c>
      <c r="G22" s="30"/>
      <c r="H22" s="30"/>
    </row>
    <row r="23" spans="1:8" s="149" customFormat="1" ht="54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4276.887690706054</v>
      </c>
      <c r="D25" s="208"/>
      <c r="E25" s="58">
        <v>4897.152999999999</v>
      </c>
      <c r="F25" s="58">
        <v>5043.83</v>
      </c>
      <c r="G25" s="157">
        <v>365.5950984</v>
      </c>
      <c r="H25" s="59">
        <f>E25-F25</f>
        <v>-146.6770000000006</v>
      </c>
    </row>
    <row r="26" spans="1:8" s="143" customFormat="1" ht="18">
      <c r="A26" s="60" t="s">
        <v>36</v>
      </c>
      <c r="B26" s="61" t="s">
        <v>37</v>
      </c>
      <c r="C26" s="210">
        <v>395.43586</v>
      </c>
      <c r="D26" s="211"/>
      <c r="E26" s="63">
        <v>1021.941</v>
      </c>
      <c r="F26" s="63">
        <v>1052.65</v>
      </c>
      <c r="G26" s="63">
        <v>68.6946204</v>
      </c>
      <c r="H26" s="64">
        <f>E26-F26</f>
        <v>-30.70900000000006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3881.451830706054</v>
      </c>
      <c r="D50" s="211"/>
      <c r="E50" s="63">
        <v>3875.2119999999995</v>
      </c>
      <c r="F50" s="63">
        <v>3991.18</v>
      </c>
      <c r="G50" s="63">
        <v>296.900478</v>
      </c>
      <c r="H50" s="64">
        <f aca="true" t="shared" si="0" ref="H50:H59">E50-F50</f>
        <v>-115.9680000000003</v>
      </c>
    </row>
    <row r="51" spans="1:8" ht="15">
      <c r="A51" s="77" t="s">
        <v>84</v>
      </c>
      <c r="B51" s="78" t="s">
        <v>85</v>
      </c>
      <c r="C51" s="212">
        <v>510.95810087705917</v>
      </c>
      <c r="D51" s="213"/>
      <c r="E51" s="73">
        <v>262.073</v>
      </c>
      <c r="F51" s="73">
        <v>269.82</v>
      </c>
      <c r="G51" s="81">
        <v>19.821087000000002</v>
      </c>
      <c r="H51" s="82">
        <f t="shared" si="0"/>
        <v>-7.747000000000014</v>
      </c>
    </row>
    <row r="52" spans="1:8" ht="15">
      <c r="A52" s="77" t="s">
        <v>86</v>
      </c>
      <c r="B52" s="78" t="s">
        <v>87</v>
      </c>
      <c r="C52" s="212">
        <v>255.42026293101628</v>
      </c>
      <c r="D52" s="213"/>
      <c r="E52" s="73">
        <v>324.837</v>
      </c>
      <c r="F52" s="73">
        <v>334.41</v>
      </c>
      <c r="G52" s="81">
        <v>25.5317778</v>
      </c>
      <c r="H52" s="82">
        <f t="shared" si="0"/>
        <v>-9.573000000000036</v>
      </c>
    </row>
    <row r="53" spans="1:8" ht="15">
      <c r="A53" s="77" t="s">
        <v>88</v>
      </c>
      <c r="B53" s="78" t="s">
        <v>89</v>
      </c>
      <c r="C53" s="212">
        <v>62.65429037859857</v>
      </c>
      <c r="D53" s="213"/>
      <c r="E53" s="73">
        <v>61.302</v>
      </c>
      <c r="F53" s="73">
        <v>63.05</v>
      </c>
      <c r="G53" s="81">
        <v>4.712706</v>
      </c>
      <c r="H53" s="82">
        <f t="shared" si="0"/>
        <v>-1.7479999999999976</v>
      </c>
    </row>
    <row r="54" spans="1:8" ht="15">
      <c r="A54" s="77" t="s">
        <v>90</v>
      </c>
      <c r="B54" s="78" t="s">
        <v>91</v>
      </c>
      <c r="C54" s="212">
        <v>278.9559285974552</v>
      </c>
      <c r="D54" s="213"/>
      <c r="E54" s="73">
        <v>267.033</v>
      </c>
      <c r="F54" s="73">
        <v>274.89</v>
      </c>
      <c r="G54" s="81">
        <v>19.8488088</v>
      </c>
      <c r="H54" s="82">
        <f t="shared" si="0"/>
        <v>-7.856999999999971</v>
      </c>
    </row>
    <row r="55" spans="1:8" ht="28.5">
      <c r="A55" s="77" t="s">
        <v>92</v>
      </c>
      <c r="B55" s="78" t="s">
        <v>93</v>
      </c>
      <c r="C55" s="212">
        <v>816.6401977510957</v>
      </c>
      <c r="D55" s="213"/>
      <c r="E55" s="73">
        <v>1023.185</v>
      </c>
      <c r="F55" s="73">
        <v>1053.66</v>
      </c>
      <c r="G55" s="81">
        <v>77.9814234</v>
      </c>
      <c r="H55" s="82">
        <f t="shared" si="0"/>
        <v>-30.475000000000136</v>
      </c>
    </row>
    <row r="56" spans="1:8" ht="15">
      <c r="A56" s="77" t="s">
        <v>94</v>
      </c>
      <c r="B56" s="78" t="s">
        <v>95</v>
      </c>
      <c r="C56" s="212">
        <v>345.89778189283896</v>
      </c>
      <c r="D56" s="213"/>
      <c r="E56" s="73">
        <v>312.926</v>
      </c>
      <c r="F56" s="73">
        <v>322.81</v>
      </c>
      <c r="G56" s="81">
        <v>24.894176400000003</v>
      </c>
      <c r="H56" s="82">
        <f t="shared" si="0"/>
        <v>-9.884000000000015</v>
      </c>
    </row>
    <row r="57" spans="1:8" ht="27.75" customHeight="1">
      <c r="A57" s="77" t="s">
        <v>96</v>
      </c>
      <c r="B57" s="78" t="s">
        <v>97</v>
      </c>
      <c r="C57" s="212">
        <v>114.36576015097212</v>
      </c>
      <c r="D57" s="213"/>
      <c r="E57" s="73">
        <v>164.265</v>
      </c>
      <c r="F57" s="73">
        <v>168.97</v>
      </c>
      <c r="G57" s="81">
        <v>12.6688626</v>
      </c>
      <c r="H57" s="82">
        <f t="shared" si="0"/>
        <v>-4.7050000000000125</v>
      </c>
    </row>
    <row r="58" spans="1:8" s="158" customFormat="1" ht="15">
      <c r="A58" s="77" t="s">
        <v>98</v>
      </c>
      <c r="B58" s="78" t="s">
        <v>99</v>
      </c>
      <c r="C58" s="212">
        <v>280.5893165684211</v>
      </c>
      <c r="D58" s="213"/>
      <c r="E58" s="73">
        <v>272.279</v>
      </c>
      <c r="F58" s="73">
        <v>280.44</v>
      </c>
      <c r="G58" s="81">
        <v>21.0408462</v>
      </c>
      <c r="H58" s="82">
        <f t="shared" si="0"/>
        <v>-8.161000000000001</v>
      </c>
    </row>
    <row r="59" spans="1:8" s="159" customFormat="1" ht="16.5">
      <c r="A59" s="77" t="s">
        <v>100</v>
      </c>
      <c r="B59" s="78" t="s">
        <v>101</v>
      </c>
      <c r="C59" s="212">
        <v>1213.3518585022857</v>
      </c>
      <c r="D59" s="213"/>
      <c r="E59" s="73">
        <v>1184.494</v>
      </c>
      <c r="F59" s="73">
        <v>1220.1</v>
      </c>
      <c r="G59" s="81">
        <v>90.2067372</v>
      </c>
      <c r="H59" s="82">
        <f t="shared" si="0"/>
        <v>-35.605999999999995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/>
    </row>
    <row r="61" spans="1:8" ht="28.5">
      <c r="A61" s="77" t="s">
        <v>104</v>
      </c>
      <c r="B61" s="78" t="s">
        <v>105</v>
      </c>
      <c r="C61" s="212">
        <v>2.6183330563113105</v>
      </c>
      <c r="D61" s="213"/>
      <c r="E61" s="73">
        <v>2.818</v>
      </c>
      <c r="F61" s="73">
        <v>3.03</v>
      </c>
      <c r="G61" s="81">
        <v>0.19405260000000002</v>
      </c>
      <c r="H61" s="82"/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46.5" customHeight="1" hidden="1" thickBot="1" thickTop="1">
      <c r="A63" s="216" t="s">
        <v>108</v>
      </c>
      <c r="B63" s="217" t="s">
        <v>109</v>
      </c>
      <c r="C63" s="218">
        <v>725.9087604000001</v>
      </c>
      <c r="D63" s="218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221">
        <v>6926.0048598696485</v>
      </c>
      <c r="D64" s="222"/>
      <c r="E64" s="166">
        <v>6418.24218</v>
      </c>
      <c r="F64" s="166">
        <v>6429.3524099999995</v>
      </c>
      <c r="G64" s="167">
        <v>170.3781828</v>
      </c>
      <c r="H64" s="168">
        <f>E64-F64</f>
        <v>-11.11022999999932</v>
      </c>
    </row>
    <row r="65" spans="1:8" ht="15.75" thickTop="1">
      <c r="A65" s="169"/>
      <c r="B65" s="333" t="s">
        <v>113</v>
      </c>
      <c r="C65" s="223">
        <v>2524.1046614134066</v>
      </c>
      <c r="D65" s="224"/>
      <c r="E65" s="225">
        <v>2253.73926</v>
      </c>
      <c r="F65" s="225">
        <v>2288.154</v>
      </c>
      <c r="G65" s="163">
        <v>170.3781828</v>
      </c>
      <c r="H65" s="226">
        <f>E65-F65</f>
        <v>-34.414740000000165</v>
      </c>
    </row>
    <row r="66" spans="1:8" ht="15">
      <c r="A66" s="101"/>
      <c r="B66" s="102" t="s">
        <v>114</v>
      </c>
      <c r="C66" s="227">
        <v>1203.1087057191226</v>
      </c>
      <c r="D66" s="228"/>
      <c r="E66" s="229">
        <v>1129.07374</v>
      </c>
      <c r="F66" s="229">
        <v>1131.198</v>
      </c>
      <c r="G66" s="81"/>
      <c r="H66" s="179">
        <f>E66-F66</f>
        <v>-2.1242600000000493</v>
      </c>
    </row>
    <row r="67" spans="1:8" ht="15">
      <c r="A67" s="101"/>
      <c r="B67" s="102" t="s">
        <v>115</v>
      </c>
      <c r="C67" s="227">
        <v>1036.1957788245495</v>
      </c>
      <c r="D67" s="228"/>
      <c r="E67" s="229">
        <v>992.40649</v>
      </c>
      <c r="F67" s="229">
        <v>984.936</v>
      </c>
      <c r="G67" s="119"/>
      <c r="H67" s="179">
        <f>E67-F67</f>
        <v>7.470489999999927</v>
      </c>
    </row>
    <row r="68" spans="1:8" ht="15">
      <c r="A68" s="101"/>
      <c r="B68" s="102" t="s">
        <v>116</v>
      </c>
      <c r="C68" s="227">
        <v>1384.922619712708</v>
      </c>
      <c r="D68" s="228"/>
      <c r="E68" s="229">
        <v>1330.24155</v>
      </c>
      <c r="F68" s="229">
        <v>1324.25</v>
      </c>
      <c r="G68" s="119"/>
      <c r="H68" s="179">
        <f>E68-F68</f>
        <v>5.991549999999961</v>
      </c>
    </row>
    <row r="69" spans="1:8" ht="15.75" thickBot="1">
      <c r="A69" s="105"/>
      <c r="B69" s="106" t="s">
        <v>117</v>
      </c>
      <c r="C69" s="227">
        <v>777.6730941998615</v>
      </c>
      <c r="D69" s="228"/>
      <c r="E69" s="230">
        <v>712.7811399999999</v>
      </c>
      <c r="F69" s="230">
        <v>700.8144100000001</v>
      </c>
      <c r="G69" s="231"/>
      <c r="H69" s="232">
        <f>59.89715+1.19783</f>
        <v>61.09498000000001</v>
      </c>
    </row>
    <row r="70" spans="1:8" ht="19.5" customHeight="1" thickBot="1" thickTop="1">
      <c r="A70" s="109" t="s">
        <v>118</v>
      </c>
      <c r="B70" s="233" t="s">
        <v>119</v>
      </c>
      <c r="C70" s="221">
        <v>11202.892550575703</v>
      </c>
      <c r="D70" s="222"/>
      <c r="E70" s="234">
        <v>11315.39518</v>
      </c>
      <c r="F70" s="234">
        <v>11473.18241</v>
      </c>
      <c r="G70" s="234">
        <v>535.9732812</v>
      </c>
      <c r="H70" s="235">
        <f>H25+H64</f>
        <v>-157.7872299999999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46.78781</v>
      </c>
      <c r="F71" s="234">
        <v>45.875170000000004</v>
      </c>
      <c r="G71" s="234">
        <v>0</v>
      </c>
      <c r="H71" s="235">
        <f>E71-F71</f>
        <v>0.9126399999999961</v>
      </c>
    </row>
    <row r="72" spans="1:8" ht="15.75" thickTop="1">
      <c r="A72" s="176"/>
      <c r="B72" s="170" t="s">
        <v>122</v>
      </c>
      <c r="C72" s="223"/>
      <c r="D72" s="224"/>
      <c r="E72" s="117">
        <v>46.78781</v>
      </c>
      <c r="F72" s="117">
        <v>45.875170000000004</v>
      </c>
      <c r="G72" s="117"/>
      <c r="H72" s="226">
        <f>E72-F72</f>
        <v>0.9126399999999961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161.865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9.71692</v>
      </c>
      <c r="D75" s="239"/>
      <c r="E75" s="240">
        <v>9.71692</v>
      </c>
      <c r="F75" s="240">
        <v>9.71692</v>
      </c>
      <c r="G75" s="240"/>
      <c r="H75" s="241">
        <f>E75-F75</f>
        <v>0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6632.31541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2845.4629999999993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3775.9097700000007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10.942639999999995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theme="5" tint="0.5999900102615356"/>
  </sheetPr>
  <dimension ref="A1:H104"/>
  <sheetViews>
    <sheetView zoomScaleSheetLayoutView="80" zoomScalePageLayoutView="0" workbookViewId="0" topLeftCell="A1">
      <selection activeCell="E75" sqref="E75"/>
    </sheetView>
  </sheetViews>
  <sheetFormatPr defaultColWidth="9.140625" defaultRowHeight="15"/>
  <cols>
    <col min="1" max="1" width="8.57421875" style="187" customWidth="1"/>
    <col min="2" max="2" width="55.7109375" style="140" customWidth="1"/>
    <col min="3" max="3" width="14.421875" style="140" customWidth="1"/>
    <col min="4" max="4" width="11.57421875" style="140" customWidth="1"/>
    <col min="5" max="5" width="20.57421875" style="140" customWidth="1"/>
    <col min="6" max="6" width="22.7109375" style="140" customWidth="1"/>
    <col min="7" max="7" width="22.57421875" style="140" customWidth="1"/>
    <col min="8" max="8" width="19.281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50 ЛЕТ Октября</v>
      </c>
      <c r="E2" s="5"/>
      <c r="F2" s="5" t="s">
        <v>3</v>
      </c>
      <c r="G2" s="7">
        <f>D17</f>
        <v>2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139</v>
      </c>
      <c r="C17" s="31" t="s">
        <v>3</v>
      </c>
      <c r="D17" s="31">
        <v>2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1259.2500000000002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730.19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486.67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42.39</v>
      </c>
      <c r="F22" s="8" t="s">
        <v>20</v>
      </c>
      <c r="G22" s="30"/>
    </row>
    <row r="23" spans="1:8" s="149" customFormat="1" ht="82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3320.2066302354124</v>
      </c>
      <c r="D25" s="57">
        <v>0</v>
      </c>
      <c r="E25" s="58">
        <v>3847.4929999999995</v>
      </c>
      <c r="F25" s="58">
        <v>4122.030000000001</v>
      </c>
      <c r="G25" s="157">
        <v>46.7029614</v>
      </c>
      <c r="H25" s="59">
        <f>E25-F25</f>
        <v>-274.53700000000117</v>
      </c>
    </row>
    <row r="26" spans="1:8" s="143" customFormat="1" ht="18">
      <c r="A26" s="60" t="s">
        <v>36</v>
      </c>
      <c r="B26" s="61" t="s">
        <v>37</v>
      </c>
      <c r="C26" s="62">
        <v>318.27483</v>
      </c>
      <c r="D26" s="62"/>
      <c r="E26" s="63">
        <v>671.875</v>
      </c>
      <c r="F26" s="63">
        <v>704.87</v>
      </c>
      <c r="G26" s="63">
        <v>8.106186600000001</v>
      </c>
      <c r="H26" s="64">
        <f>E26-F26</f>
        <v>-32.995000000000005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3001.9318002354125</v>
      </c>
      <c r="D50" s="62">
        <v>0</v>
      </c>
      <c r="E50" s="63">
        <v>3175.6179999999995</v>
      </c>
      <c r="F50" s="63">
        <v>3417.1600000000003</v>
      </c>
      <c r="G50" s="63">
        <v>38.59677479999999</v>
      </c>
      <c r="H50" s="64">
        <f aca="true" t="shared" si="0" ref="H50:H62">E50-F50</f>
        <v>-241.54200000000083</v>
      </c>
    </row>
    <row r="51" spans="1:8" ht="15">
      <c r="A51" s="77" t="s">
        <v>84</v>
      </c>
      <c r="B51" s="78" t="s">
        <v>85</v>
      </c>
      <c r="C51" s="79">
        <v>421.7349623987083</v>
      </c>
      <c r="D51" s="80"/>
      <c r="E51" s="73">
        <v>216.31</v>
      </c>
      <c r="F51" s="73">
        <v>232.89</v>
      </c>
      <c r="G51" s="81">
        <v>2.6012748</v>
      </c>
      <c r="H51" s="82">
        <f t="shared" si="0"/>
        <v>-16.579999999999984</v>
      </c>
    </row>
    <row r="52" spans="1:8" s="158" customFormat="1" ht="15">
      <c r="A52" s="77" t="s">
        <v>86</v>
      </c>
      <c r="B52" s="78" t="s">
        <v>87</v>
      </c>
      <c r="C52" s="79">
        <v>463.81411056723766</v>
      </c>
      <c r="D52" s="80"/>
      <c r="E52" s="73">
        <v>589.867</v>
      </c>
      <c r="F52" s="73">
        <v>634.79</v>
      </c>
      <c r="G52" s="81">
        <v>7.3814772</v>
      </c>
      <c r="H52" s="82">
        <f t="shared" si="0"/>
        <v>-44.923</v>
      </c>
    </row>
    <row r="53" spans="1:8" s="159" customFormat="1" ht="16.5">
      <c r="A53" s="77" t="s">
        <v>88</v>
      </c>
      <c r="B53" s="78" t="s">
        <v>89</v>
      </c>
      <c r="C53" s="79">
        <v>92.50864785402943</v>
      </c>
      <c r="D53" s="80"/>
      <c r="E53" s="73">
        <v>90.512</v>
      </c>
      <c r="F53" s="73">
        <v>97.28</v>
      </c>
      <c r="G53" s="81">
        <v>1.0990626</v>
      </c>
      <c r="H53" s="82">
        <f t="shared" si="0"/>
        <v>-6.768000000000001</v>
      </c>
    </row>
    <row r="54" spans="1:8" s="160" customFormat="1" ht="15">
      <c r="A54" s="77" t="s">
        <v>90</v>
      </c>
      <c r="B54" s="78" t="s">
        <v>91</v>
      </c>
      <c r="C54" s="79">
        <v>303.6953214853939</v>
      </c>
      <c r="D54" s="80"/>
      <c r="E54" s="73">
        <v>290.715</v>
      </c>
      <c r="F54" s="73">
        <v>312.86</v>
      </c>
      <c r="G54" s="81">
        <v>3.4363704</v>
      </c>
      <c r="H54" s="82">
        <f t="shared" si="0"/>
        <v>-22.14500000000004</v>
      </c>
    </row>
    <row r="55" spans="1:8" ht="29.25" customHeight="1">
      <c r="A55" s="77" t="s">
        <v>92</v>
      </c>
      <c r="B55" s="78" t="s">
        <v>93</v>
      </c>
      <c r="C55" s="79">
        <v>1152.191496194992</v>
      </c>
      <c r="D55" s="80"/>
      <c r="E55" s="73">
        <v>1443.604</v>
      </c>
      <c r="F55" s="73">
        <v>1553.18</v>
      </c>
      <c r="G55" s="81">
        <v>17.330633399999996</v>
      </c>
      <c r="H55" s="82">
        <f t="shared" si="0"/>
        <v>-109.57600000000002</v>
      </c>
    </row>
    <row r="56" spans="1:8" ht="15">
      <c r="A56" s="77" t="s">
        <v>94</v>
      </c>
      <c r="B56" s="78" t="s">
        <v>95</v>
      </c>
      <c r="C56" s="79">
        <v>339.1517327857274</v>
      </c>
      <c r="D56" s="80"/>
      <c r="E56" s="73">
        <v>306.823</v>
      </c>
      <c r="F56" s="73">
        <v>330.17</v>
      </c>
      <c r="G56" s="81">
        <v>3.8731158000000003</v>
      </c>
      <c r="H56" s="82">
        <f t="shared" si="0"/>
        <v>-23.347000000000037</v>
      </c>
    </row>
    <row r="57" spans="1:8" ht="17.25" customHeight="1">
      <c r="A57" s="77" t="s">
        <v>96</v>
      </c>
      <c r="B57" s="78" t="s">
        <v>97</v>
      </c>
      <c r="C57" s="79">
        <v>33.110476702278525</v>
      </c>
      <c r="D57" s="80"/>
      <c r="E57" s="73">
        <v>47.557</v>
      </c>
      <c r="F57" s="73">
        <v>51.53</v>
      </c>
      <c r="G57" s="81">
        <v>0.5855268</v>
      </c>
      <c r="H57" s="82">
        <f t="shared" si="0"/>
        <v>-3.972999999999999</v>
      </c>
    </row>
    <row r="58" spans="1:8" ht="15">
      <c r="A58" s="77" t="s">
        <v>98</v>
      </c>
      <c r="B58" s="78" t="s">
        <v>99</v>
      </c>
      <c r="C58" s="79">
        <v>192.87443272370928</v>
      </c>
      <c r="D58" s="80"/>
      <c r="E58" s="73">
        <v>187.162</v>
      </c>
      <c r="F58" s="73">
        <v>201.16</v>
      </c>
      <c r="G58" s="81">
        <v>2.255718</v>
      </c>
      <c r="H58" s="82">
        <f t="shared" si="0"/>
        <v>-13.99799999999999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2.8506195233367992</v>
      </c>
      <c r="D61" s="80"/>
      <c r="E61" s="73">
        <v>3.068</v>
      </c>
      <c r="F61" s="73">
        <v>3.3</v>
      </c>
      <c r="G61" s="81">
        <v>0.0335958</v>
      </c>
      <c r="H61" s="82">
        <f t="shared" si="0"/>
        <v>-0.23199999999999976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394.7013566</v>
      </c>
      <c r="D63" s="93"/>
      <c r="E63" s="94" t="s">
        <v>110</v>
      </c>
      <c r="F63" s="94"/>
      <c r="G63" s="163">
        <v>4.002829286130463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4536.496209580338</v>
      </c>
      <c r="D64" s="111"/>
      <c r="E64" s="167">
        <v>4318.4831709</v>
      </c>
      <c r="F64" s="167">
        <v>4315.55641</v>
      </c>
      <c r="G64" s="167">
        <v>29.4971124</v>
      </c>
      <c r="H64" s="168">
        <f>E64-F64</f>
        <v>2.926760899999863</v>
      </c>
    </row>
    <row r="65" spans="1:8" ht="15.75" thickTop="1">
      <c r="A65" s="169"/>
      <c r="B65" s="170" t="s">
        <v>113</v>
      </c>
      <c r="C65" s="171">
        <v>2481.381489128782</v>
      </c>
      <c r="D65" s="171"/>
      <c r="E65" s="172">
        <v>2389.83279</v>
      </c>
      <c r="F65" s="172">
        <v>2522.775</v>
      </c>
      <c r="G65" s="163">
        <v>29.4971124</v>
      </c>
      <c r="H65" s="173">
        <f>E65-F65</f>
        <v>-132.94221000000016</v>
      </c>
    </row>
    <row r="66" spans="1:8" ht="15">
      <c r="A66" s="101"/>
      <c r="B66" s="116" t="s">
        <v>114</v>
      </c>
      <c r="C66" s="103">
        <v>493.27571653902845</v>
      </c>
      <c r="D66" s="103"/>
      <c r="E66" s="73">
        <v>462.92131</v>
      </c>
      <c r="F66" s="73">
        <v>469.813</v>
      </c>
      <c r="G66" s="81"/>
      <c r="H66" s="104">
        <f>E66-F66</f>
        <v>-6.891689999999983</v>
      </c>
    </row>
    <row r="67" spans="1:8" ht="15">
      <c r="A67" s="101"/>
      <c r="B67" s="116" t="s">
        <v>115</v>
      </c>
      <c r="C67" s="103">
        <v>427.73415552318824</v>
      </c>
      <c r="D67" s="103"/>
      <c r="E67" s="73">
        <v>401.41294</v>
      </c>
      <c r="F67" s="73">
        <v>410.304</v>
      </c>
      <c r="G67" s="81"/>
      <c r="H67" s="104">
        <f>E67-F67</f>
        <v>-8.891059999999982</v>
      </c>
    </row>
    <row r="68" spans="1:8" ht="15">
      <c r="A68" s="101"/>
      <c r="B68" s="116" t="s">
        <v>116</v>
      </c>
      <c r="C68" s="103">
        <v>575.7903277817126</v>
      </c>
      <c r="D68" s="103"/>
      <c r="E68" s="73">
        <v>540.35827</v>
      </c>
      <c r="F68" s="73">
        <v>550.603</v>
      </c>
      <c r="G68" s="81"/>
      <c r="H68" s="104">
        <f>E68-F68</f>
        <v>-10.244730000000004</v>
      </c>
    </row>
    <row r="69" spans="1:8" ht="15.75" thickBot="1">
      <c r="A69" s="105"/>
      <c r="B69" s="174" t="s">
        <v>117</v>
      </c>
      <c r="C69" s="107">
        <v>558.3145206076258</v>
      </c>
      <c r="D69" s="107"/>
      <c r="E69" s="87">
        <v>523.9578609</v>
      </c>
      <c r="F69" s="87">
        <v>362.06141</v>
      </c>
      <c r="G69" s="88"/>
      <c r="H69" s="108">
        <f>(28864.72+83129.461)/1000</f>
        <v>111.994181</v>
      </c>
    </row>
    <row r="70" spans="1:8" ht="20.25" customHeight="1" thickBot="1" thickTop="1">
      <c r="A70" s="175" t="s">
        <v>118</v>
      </c>
      <c r="B70" s="166" t="s">
        <v>119</v>
      </c>
      <c r="C70" s="111">
        <v>7856.70283981575</v>
      </c>
      <c r="D70" s="111"/>
      <c r="E70" s="166">
        <v>8165.9761708999995</v>
      </c>
      <c r="F70" s="166">
        <v>8437.58641</v>
      </c>
      <c r="G70" s="166">
        <v>76.2000738</v>
      </c>
      <c r="H70" s="168">
        <f>H25+H64</f>
        <v>-271.6102391000013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224.01343</v>
      </c>
      <c r="F71" s="166">
        <v>238.95915</v>
      </c>
      <c r="G71" s="166">
        <v>0</v>
      </c>
      <c r="H71" s="168">
        <f>E71-F71</f>
        <v>-14.945719999999994</v>
      </c>
    </row>
    <row r="72" spans="1:8" ht="15.75" thickTop="1">
      <c r="A72" s="176"/>
      <c r="B72" s="170" t="s">
        <v>122</v>
      </c>
      <c r="C72" s="177"/>
      <c r="D72" s="177"/>
      <c r="E72" s="117">
        <v>220.58983</v>
      </c>
      <c r="F72" s="117">
        <v>235.82085</v>
      </c>
      <c r="G72" s="117"/>
      <c r="H72" s="104">
        <f>E72-F72</f>
        <v>-15.231020000000001</v>
      </c>
    </row>
    <row r="73" spans="1:8" ht="15">
      <c r="A73" s="115"/>
      <c r="B73" s="178" t="s">
        <v>123</v>
      </c>
      <c r="C73" s="118"/>
      <c r="D73" s="118"/>
      <c r="E73" s="119">
        <v>3.4236</v>
      </c>
      <c r="F73" s="119">
        <v>3.1383</v>
      </c>
      <c r="G73" s="119"/>
      <c r="H73" s="179">
        <f>E73-F73</f>
        <v>0.2852999999999999</v>
      </c>
    </row>
    <row r="74" spans="1:8" ht="29.25" thickBot="1">
      <c r="A74" s="120"/>
      <c r="B74" s="121" t="s">
        <v>124</v>
      </c>
      <c r="C74" s="122"/>
      <c r="D74" s="123"/>
      <c r="E74" s="124">
        <v>918.442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55.52505</v>
      </c>
      <c r="D75" s="114"/>
      <c r="E75" s="180">
        <v>55.52505</v>
      </c>
      <c r="F75" s="180">
        <v>50.77576</v>
      </c>
      <c r="G75" s="180"/>
      <c r="H75" s="168">
        <f>E75-F75</f>
        <v>4.749290000000002</v>
      </c>
    </row>
    <row r="76" spans="1:8" ht="25.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972.4087408999989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455.6529999999989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489.5967608999999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27.15898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2">
    <tabColor theme="7" tint="0.39998000860214233"/>
  </sheetPr>
  <dimension ref="A1:H104"/>
  <sheetViews>
    <sheetView zoomScaleSheetLayoutView="85" zoomScalePageLayoutView="0" workbookViewId="0" topLeftCell="A1">
      <selection activeCell="E71" sqref="E71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8.140625" style="140" customWidth="1"/>
    <col min="4" max="4" width="10.7109375" style="140" customWidth="1"/>
    <col min="5" max="5" width="18.28125" style="140" customWidth="1"/>
    <col min="6" max="6" width="25.28125" style="140" customWidth="1"/>
    <col min="7" max="7" width="23.28125" style="140" customWidth="1"/>
    <col min="8" max="8" width="24.14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158</v>
      </c>
      <c r="E2" s="5"/>
      <c r="F2" s="5" t="s">
        <v>3</v>
      </c>
      <c r="G2" s="7">
        <f>D17</f>
        <v>77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157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4" customHeight="1">
      <c r="A13" s="26"/>
      <c r="B13" s="26"/>
      <c r="C13" s="26"/>
      <c r="D13" s="26"/>
      <c r="E13" s="26"/>
      <c r="F13" s="26"/>
      <c r="G13" s="26"/>
      <c r="H13" s="26"/>
    </row>
    <row r="14" spans="1:8" ht="6.7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</v>
      </c>
      <c r="B17" s="197" t="s">
        <v>158</v>
      </c>
      <c r="C17" s="196" t="s">
        <v>3</v>
      </c>
      <c r="D17" s="196">
        <v>77</v>
      </c>
      <c r="E17" s="196" t="s">
        <v>18</v>
      </c>
      <c r="F17" s="196"/>
      <c r="G17" s="196"/>
      <c r="H17" s="198"/>
    </row>
    <row r="18" spans="1:8" s="141" customFormat="1" ht="10.5" customHeight="1">
      <c r="A18" s="199"/>
      <c r="B18" s="200"/>
      <c r="C18" s="201"/>
      <c r="D18" s="201"/>
      <c r="E18" s="201"/>
      <c r="F18" s="201"/>
      <c r="G18" s="201"/>
      <c r="H18" s="201"/>
    </row>
    <row r="19" spans="1:8" s="141" customFormat="1" ht="18">
      <c r="A19" s="35"/>
      <c r="B19" s="32" t="s">
        <v>145</v>
      </c>
      <c r="C19" s="8"/>
      <c r="D19" s="8"/>
      <c r="E19" s="350">
        <f>E20+E21+E22</f>
        <v>5799.590000000001</v>
      </c>
      <c r="F19" s="39" t="s">
        <v>20</v>
      </c>
      <c r="G19" s="8"/>
      <c r="H19" s="8"/>
    </row>
    <row r="20" spans="1:8" s="141" customFormat="1" ht="15.75">
      <c r="A20" s="35"/>
      <c r="B20" s="8" t="s">
        <v>21</v>
      </c>
      <c r="C20" s="8"/>
      <c r="D20" s="8"/>
      <c r="E20" s="204">
        <v>2537.19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3250.34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12.06</v>
      </c>
      <c r="F22" s="8" t="s">
        <v>20</v>
      </c>
      <c r="G22" s="30"/>
      <c r="H22" s="30"/>
    </row>
    <row r="23" spans="1:8" s="149" customFormat="1" ht="54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4378.811065512404</v>
      </c>
      <c r="D25" s="208"/>
      <c r="E25" s="58">
        <v>4704.532000000001</v>
      </c>
      <c r="F25" s="58">
        <v>4295.030000000001</v>
      </c>
      <c r="G25" s="157">
        <v>490.56194880000004</v>
      </c>
      <c r="H25" s="59">
        <f>E25-F25</f>
        <v>409.5020000000004</v>
      </c>
    </row>
    <row r="26" spans="1:8" s="143" customFormat="1" ht="18">
      <c r="A26" s="60" t="s">
        <v>36</v>
      </c>
      <c r="B26" s="61" t="s">
        <v>37</v>
      </c>
      <c r="C26" s="210">
        <v>694.95123</v>
      </c>
      <c r="D26" s="211"/>
      <c r="E26" s="63">
        <v>1026.591</v>
      </c>
      <c r="F26" s="63">
        <v>896.38</v>
      </c>
      <c r="G26" s="313">
        <v>92.17565280000001</v>
      </c>
      <c r="H26" s="64">
        <f>E26-F26</f>
        <v>130.2109999999999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3683.859835512404</v>
      </c>
      <c r="D50" s="211"/>
      <c r="E50" s="63">
        <v>3677.9410000000007</v>
      </c>
      <c r="F50" s="63">
        <v>3398.6500000000005</v>
      </c>
      <c r="G50" s="313">
        <v>398.386296</v>
      </c>
      <c r="H50" s="64">
        <f aca="true" t="shared" si="0" ref="H50:H61">E50-F50</f>
        <v>279.29100000000017</v>
      </c>
    </row>
    <row r="51" spans="1:8" ht="15">
      <c r="A51" s="77" t="s">
        <v>84</v>
      </c>
      <c r="B51" s="78" t="s">
        <v>85</v>
      </c>
      <c r="C51" s="212">
        <v>484.9454899560497</v>
      </c>
      <c r="D51" s="213"/>
      <c r="E51" s="73">
        <v>248.731</v>
      </c>
      <c r="F51" s="73">
        <v>229.78</v>
      </c>
      <c r="G51" s="81">
        <v>26.596284000000004</v>
      </c>
      <c r="H51" s="82">
        <f t="shared" si="0"/>
        <v>18.950999999999993</v>
      </c>
    </row>
    <row r="52" spans="1:8" ht="15">
      <c r="A52" s="77" t="s">
        <v>86</v>
      </c>
      <c r="B52" s="78" t="s">
        <v>87</v>
      </c>
      <c r="C52" s="212">
        <v>242.41795879747457</v>
      </c>
      <c r="D52" s="213"/>
      <c r="E52" s="73">
        <v>308.301</v>
      </c>
      <c r="F52" s="73">
        <v>284.76</v>
      </c>
      <c r="G52" s="81">
        <v>34.25898960000001</v>
      </c>
      <c r="H52" s="82">
        <f t="shared" si="0"/>
        <v>23.540999999999997</v>
      </c>
    </row>
    <row r="53" spans="1:8" ht="15">
      <c r="A53" s="77" t="s">
        <v>88</v>
      </c>
      <c r="B53" s="78" t="s">
        <v>89</v>
      </c>
      <c r="C53" s="212">
        <v>59.46546479409517</v>
      </c>
      <c r="D53" s="213"/>
      <c r="E53" s="73">
        <v>58.182</v>
      </c>
      <c r="F53" s="73">
        <v>53.69</v>
      </c>
      <c r="G53" s="81">
        <v>6.3235920000000005</v>
      </c>
      <c r="H53" s="82">
        <f t="shared" si="0"/>
        <v>4.492000000000004</v>
      </c>
    </row>
    <row r="54" spans="1:8" ht="15">
      <c r="A54" s="77" t="s">
        <v>90</v>
      </c>
      <c r="B54" s="78" t="s">
        <v>91</v>
      </c>
      <c r="C54" s="212">
        <v>264.7560059758122</v>
      </c>
      <c r="D54" s="213"/>
      <c r="E54" s="73">
        <v>253.44</v>
      </c>
      <c r="F54" s="73">
        <v>234.08</v>
      </c>
      <c r="G54" s="81">
        <v>26.633481600000003</v>
      </c>
      <c r="H54" s="82">
        <f t="shared" si="0"/>
        <v>19.359999999999985</v>
      </c>
    </row>
    <row r="55" spans="1:8" ht="28.5">
      <c r="A55" s="77" t="s">
        <v>92</v>
      </c>
      <c r="B55" s="78" t="s">
        <v>93</v>
      </c>
      <c r="C55" s="212">
        <v>775.0709102620586</v>
      </c>
      <c r="D55" s="213"/>
      <c r="E55" s="73">
        <v>971.102</v>
      </c>
      <c r="F55" s="73">
        <v>897.23</v>
      </c>
      <c r="G55" s="81">
        <v>104.63684880000001</v>
      </c>
      <c r="H55" s="82">
        <f t="shared" si="0"/>
        <v>73.87199999999996</v>
      </c>
    </row>
    <row r="56" spans="1:8" ht="15">
      <c r="A56" s="77" t="s">
        <v>94</v>
      </c>
      <c r="B56" s="78" t="s">
        <v>95</v>
      </c>
      <c r="C56" s="212">
        <v>328.2749306861079</v>
      </c>
      <c r="D56" s="213"/>
      <c r="E56" s="73">
        <v>296.983</v>
      </c>
      <c r="F56" s="73">
        <v>274.88</v>
      </c>
      <c r="G56" s="81">
        <v>33.4034448</v>
      </c>
      <c r="H56" s="82">
        <f t="shared" si="0"/>
        <v>22.10300000000001</v>
      </c>
    </row>
    <row r="57" spans="1:8" ht="27.75" customHeight="1">
      <c r="A57" s="77" t="s">
        <v>96</v>
      </c>
      <c r="B57" s="78" t="s">
        <v>97</v>
      </c>
      <c r="C57" s="212">
        <v>108.54530080258918</v>
      </c>
      <c r="D57" s="213"/>
      <c r="E57" s="73">
        <v>155.905</v>
      </c>
      <c r="F57" s="73">
        <v>143.88</v>
      </c>
      <c r="G57" s="81">
        <v>16.999303200000003</v>
      </c>
      <c r="H57" s="82">
        <f t="shared" si="0"/>
        <v>12.025000000000006</v>
      </c>
    </row>
    <row r="58" spans="1:8" s="158" customFormat="1" ht="15">
      <c r="A58" s="77" t="s">
        <v>98</v>
      </c>
      <c r="B58" s="78" t="s">
        <v>99</v>
      </c>
      <c r="C58" s="212">
        <v>266.3114435739725</v>
      </c>
      <c r="D58" s="213"/>
      <c r="E58" s="73">
        <v>258.424</v>
      </c>
      <c r="F58" s="73">
        <v>238.8</v>
      </c>
      <c r="G58" s="81">
        <v>28.232978400000004</v>
      </c>
      <c r="H58" s="82">
        <f t="shared" si="0"/>
        <v>19.623999999999967</v>
      </c>
    </row>
    <row r="59" spans="1:8" s="159" customFormat="1" ht="16.5">
      <c r="A59" s="77" t="s">
        <v>100</v>
      </c>
      <c r="B59" s="78" t="s">
        <v>101</v>
      </c>
      <c r="C59" s="212">
        <v>1151.586865467071</v>
      </c>
      <c r="D59" s="213"/>
      <c r="E59" s="73">
        <v>1124.198</v>
      </c>
      <c r="F59" s="73">
        <v>1038.97</v>
      </c>
      <c r="G59" s="81">
        <v>121.04099040000001</v>
      </c>
      <c r="H59" s="82">
        <f t="shared" si="0"/>
        <v>85.22800000000007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>
        <f t="shared" si="0"/>
        <v>0</v>
      </c>
    </row>
    <row r="61" spans="1:8" ht="28.5">
      <c r="A61" s="77" t="s">
        <v>104</v>
      </c>
      <c r="B61" s="78" t="s">
        <v>105</v>
      </c>
      <c r="C61" s="212">
        <v>2.4854651971727306</v>
      </c>
      <c r="D61" s="213"/>
      <c r="E61" s="73">
        <v>2.675</v>
      </c>
      <c r="F61" s="73">
        <v>2.58</v>
      </c>
      <c r="G61" s="81">
        <v>0.2603832000000001</v>
      </c>
      <c r="H61" s="82">
        <f t="shared" si="0"/>
        <v>0.09499999999999975</v>
      </c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46.5" customHeight="1" hidden="1" thickBot="1" thickTop="1">
      <c r="A63" s="216" t="s">
        <v>108</v>
      </c>
      <c r="B63" s="217" t="s">
        <v>109</v>
      </c>
      <c r="C63" s="218">
        <v>293.60442279999995</v>
      </c>
      <c r="D63" s="218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221">
        <v>6393.078397769734</v>
      </c>
      <c r="D64" s="222"/>
      <c r="E64" s="166">
        <v>5825.34139</v>
      </c>
      <c r="F64" s="166">
        <v>5292.9802</v>
      </c>
      <c r="G64" s="167">
        <v>228.6164496</v>
      </c>
      <c r="H64" s="168">
        <f>E64-F64</f>
        <v>532.3611899999996</v>
      </c>
    </row>
    <row r="65" spans="1:8" ht="15.75" thickTop="1">
      <c r="A65" s="169"/>
      <c r="B65" s="333" t="s">
        <v>113</v>
      </c>
      <c r="C65" s="223">
        <v>2521.838180125097</v>
      </c>
      <c r="D65" s="224"/>
      <c r="E65" s="225">
        <v>2162.36485</v>
      </c>
      <c r="F65" s="225">
        <v>1949.024</v>
      </c>
      <c r="G65" s="163">
        <v>228.6164496</v>
      </c>
      <c r="H65" s="226">
        <f>E65-F65</f>
        <v>213.34085000000005</v>
      </c>
    </row>
    <row r="66" spans="1:8" ht="15">
      <c r="A66" s="101"/>
      <c r="B66" s="102" t="s">
        <v>114</v>
      </c>
      <c r="C66" s="227">
        <v>1063.6664316534243</v>
      </c>
      <c r="D66" s="228"/>
      <c r="E66" s="229">
        <v>998.21224</v>
      </c>
      <c r="F66" s="229">
        <v>893.54</v>
      </c>
      <c r="G66" s="81"/>
      <c r="H66" s="179">
        <f>E66-F66</f>
        <v>104.67223999999999</v>
      </c>
    </row>
    <row r="67" spans="1:8" ht="15">
      <c r="A67" s="101"/>
      <c r="B67" s="102" t="s">
        <v>115</v>
      </c>
      <c r="C67" s="227">
        <v>915.1656561107889</v>
      </c>
      <c r="D67" s="228"/>
      <c r="E67" s="229">
        <v>876.49106</v>
      </c>
      <c r="F67" s="229">
        <v>783.284</v>
      </c>
      <c r="G67" s="119"/>
      <c r="H67" s="179">
        <f>E67-F67</f>
        <v>93.20705999999996</v>
      </c>
    </row>
    <row r="68" spans="1:8" ht="15">
      <c r="A68" s="101"/>
      <c r="B68" s="102" t="s">
        <v>116</v>
      </c>
      <c r="C68" s="227">
        <v>1223.2477093923505</v>
      </c>
      <c r="D68" s="228"/>
      <c r="E68" s="229">
        <v>1174.95007</v>
      </c>
      <c r="F68" s="229">
        <v>1049.445</v>
      </c>
      <c r="G68" s="119"/>
      <c r="H68" s="179">
        <f>E68-F68</f>
        <v>125.50507000000016</v>
      </c>
    </row>
    <row r="69" spans="1:8" ht="15.75" thickBot="1">
      <c r="A69" s="105"/>
      <c r="B69" s="106" t="s">
        <v>117</v>
      </c>
      <c r="C69" s="227">
        <v>669.1604204880725</v>
      </c>
      <c r="D69" s="228"/>
      <c r="E69" s="230">
        <v>613.32317</v>
      </c>
      <c r="F69" s="230">
        <v>617.6872</v>
      </c>
      <c r="G69" s="231"/>
      <c r="H69" s="232">
        <f>76.40943-40.69836</f>
        <v>35.71107</v>
      </c>
    </row>
    <row r="70" spans="1:8" ht="19.5" thickBot="1" thickTop="1">
      <c r="A70" s="109" t="s">
        <v>118</v>
      </c>
      <c r="B70" s="233" t="s">
        <v>119</v>
      </c>
      <c r="C70" s="221">
        <v>10771.889463282138</v>
      </c>
      <c r="D70" s="222"/>
      <c r="E70" s="234">
        <v>10529.87339</v>
      </c>
      <c r="F70" s="234">
        <v>9588.0102</v>
      </c>
      <c r="G70" s="234">
        <v>719.1783984000001</v>
      </c>
      <c r="H70" s="235">
        <f>H25+H64</f>
        <v>941.86319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51.15222</v>
      </c>
      <c r="F71" s="234">
        <v>46.50759</v>
      </c>
      <c r="G71" s="234">
        <v>0</v>
      </c>
      <c r="H71" s="235">
        <f>E71-F71</f>
        <v>4.644629999999999</v>
      </c>
    </row>
    <row r="72" spans="1:8" ht="15.75" thickTop="1">
      <c r="A72" s="176"/>
      <c r="B72" s="170" t="s">
        <v>122</v>
      </c>
      <c r="C72" s="223"/>
      <c r="D72" s="224"/>
      <c r="E72" s="117">
        <v>51.15222</v>
      </c>
      <c r="F72" s="117">
        <v>46.50759</v>
      </c>
      <c r="G72" s="117"/>
      <c r="H72" s="226">
        <f>E72-F72</f>
        <v>4.644629999999999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161.033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33.63021</v>
      </c>
      <c r="D75" s="239"/>
      <c r="E75" s="240">
        <v>33.63021</v>
      </c>
      <c r="F75" s="240">
        <v>33.63021</v>
      </c>
      <c r="G75" s="240"/>
      <c r="H75" s="241">
        <f>E75-F75</f>
        <v>0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6746.097820000001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2946.6920000000005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3782.7011899999998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16.70463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3">
    <tabColor theme="7" tint="0.39998000860214233"/>
  </sheetPr>
  <dimension ref="A1:H104"/>
  <sheetViews>
    <sheetView zoomScaleSheetLayoutView="85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5.7109375" style="140" customWidth="1"/>
    <col min="4" max="4" width="9.57421875" style="140" customWidth="1"/>
    <col min="5" max="5" width="20.00390625" style="140" customWidth="1"/>
    <col min="6" max="6" width="25.28125" style="140" customWidth="1"/>
    <col min="7" max="7" width="22.8515625" style="140" customWidth="1"/>
    <col min="8" max="8" width="21.281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158</v>
      </c>
      <c r="E2" s="5"/>
      <c r="F2" s="5" t="s">
        <v>3</v>
      </c>
      <c r="G2" s="7">
        <f>D17</f>
        <v>81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157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4" customHeight="1">
      <c r="A13" s="26"/>
      <c r="B13" s="26"/>
      <c r="C13" s="26"/>
      <c r="D13" s="26"/>
      <c r="E13" s="26"/>
      <c r="F13" s="26"/>
      <c r="G13" s="26"/>
      <c r="H13" s="26"/>
    </row>
    <row r="14" spans="1:8" ht="9.7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</v>
      </c>
      <c r="B17" s="197" t="s">
        <v>158</v>
      </c>
      <c r="C17" s="196" t="s">
        <v>3</v>
      </c>
      <c r="D17" s="196">
        <v>81</v>
      </c>
      <c r="E17" s="196" t="s">
        <v>18</v>
      </c>
      <c r="F17" s="196"/>
      <c r="G17" s="196"/>
      <c r="H17" s="198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145</v>
      </c>
      <c r="C19" s="8"/>
      <c r="D19" s="8"/>
      <c r="E19" s="350">
        <f>E20+E21+E22</f>
        <v>8385.09</v>
      </c>
      <c r="F19" s="39" t="s">
        <v>20</v>
      </c>
      <c r="G19" s="8"/>
      <c r="H19" s="8"/>
    </row>
    <row r="20" spans="1:8" s="141" customFormat="1" ht="15.75">
      <c r="A20" s="35"/>
      <c r="B20" s="8" t="s">
        <v>21</v>
      </c>
      <c r="C20" s="8"/>
      <c r="D20" s="8"/>
      <c r="E20" s="204">
        <v>3675.18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4693.99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15.92</v>
      </c>
      <c r="F22" s="8" t="s">
        <v>20</v>
      </c>
      <c r="G22" s="30"/>
      <c r="H22" s="30"/>
    </row>
    <row r="23" spans="1:8" s="149" customFormat="1" ht="71.25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3993.845959596163</v>
      </c>
      <c r="D25" s="208"/>
      <c r="E25" s="58">
        <v>4452.182</v>
      </c>
      <c r="F25" s="58">
        <v>4220.58</v>
      </c>
      <c r="G25" s="157">
        <v>838.519416</v>
      </c>
      <c r="H25" s="59">
        <f>E25-F25</f>
        <v>231.60199999999986</v>
      </c>
    </row>
    <row r="26" spans="1:8" s="143" customFormat="1" ht="18">
      <c r="A26" s="60" t="s">
        <v>36</v>
      </c>
      <c r="B26" s="61" t="s">
        <v>37</v>
      </c>
      <c r="C26" s="210">
        <v>393.68954</v>
      </c>
      <c r="D26" s="211"/>
      <c r="E26" s="63">
        <v>857.947</v>
      </c>
      <c r="F26" s="63">
        <v>813.31</v>
      </c>
      <c r="G26" s="63">
        <v>157.556196</v>
      </c>
      <c r="H26" s="64">
        <f>E26-F26</f>
        <v>44.63700000000006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3600.1564195961632</v>
      </c>
      <c r="D50" s="211"/>
      <c r="E50" s="63">
        <v>3594.235</v>
      </c>
      <c r="F50" s="63">
        <v>3407.27</v>
      </c>
      <c r="G50" s="63">
        <v>680.96322</v>
      </c>
      <c r="H50" s="64">
        <f aca="true" t="shared" si="0" ref="H50:H61">E50-F50</f>
        <v>186.96500000000015</v>
      </c>
    </row>
    <row r="51" spans="1:8" ht="15">
      <c r="A51" s="77" t="s">
        <v>84</v>
      </c>
      <c r="B51" s="78" t="s">
        <v>85</v>
      </c>
      <c r="C51" s="212">
        <v>473.96879984322675</v>
      </c>
      <c r="D51" s="213"/>
      <c r="E51" s="73">
        <v>243.101</v>
      </c>
      <c r="F51" s="73">
        <v>230.44</v>
      </c>
      <c r="G51" s="81">
        <v>45.461130000000004</v>
      </c>
      <c r="H51" s="82">
        <f t="shared" si="0"/>
        <v>12.661000000000001</v>
      </c>
    </row>
    <row r="52" spans="1:8" ht="15">
      <c r="A52" s="77" t="s">
        <v>86</v>
      </c>
      <c r="B52" s="78" t="s">
        <v>87</v>
      </c>
      <c r="C52" s="212">
        <v>236.88317294865988</v>
      </c>
      <c r="D52" s="213"/>
      <c r="E52" s="73">
        <v>301.262</v>
      </c>
      <c r="F52" s="73">
        <v>285.73</v>
      </c>
      <c r="G52" s="81">
        <v>58.559022000000006</v>
      </c>
      <c r="H52" s="82">
        <f t="shared" si="0"/>
        <v>15.531999999999982</v>
      </c>
    </row>
    <row r="53" spans="1:8" ht="15">
      <c r="A53" s="77" t="s">
        <v>88</v>
      </c>
      <c r="B53" s="78" t="s">
        <v>89</v>
      </c>
      <c r="C53" s="212">
        <v>58.1081698017168</v>
      </c>
      <c r="D53" s="213"/>
      <c r="E53" s="73">
        <v>56.854</v>
      </c>
      <c r="F53" s="73">
        <v>59.09</v>
      </c>
      <c r="G53" s="81">
        <v>10.80894</v>
      </c>
      <c r="H53" s="82">
        <f t="shared" si="0"/>
        <v>-2.236000000000004</v>
      </c>
    </row>
    <row r="54" spans="1:8" ht="15">
      <c r="A54" s="77" t="s">
        <v>90</v>
      </c>
      <c r="B54" s="78" t="s">
        <v>91</v>
      </c>
      <c r="C54" s="212">
        <v>258.73360077359246</v>
      </c>
      <c r="D54" s="213"/>
      <c r="E54" s="73">
        <v>247.675</v>
      </c>
      <c r="F54" s="73">
        <v>242.68</v>
      </c>
      <c r="G54" s="81">
        <v>45.524712</v>
      </c>
      <c r="H54" s="82">
        <f t="shared" si="0"/>
        <v>4.9950000000000045</v>
      </c>
    </row>
    <row r="55" spans="1:8" ht="33" customHeight="1">
      <c r="A55" s="77" t="s">
        <v>92</v>
      </c>
      <c r="B55" s="78" t="s">
        <v>93</v>
      </c>
      <c r="C55" s="212">
        <v>757.3339466488093</v>
      </c>
      <c r="D55" s="213"/>
      <c r="E55" s="73">
        <v>948.879</v>
      </c>
      <c r="F55" s="73">
        <v>899.41</v>
      </c>
      <c r="G55" s="81">
        <v>178.856166</v>
      </c>
      <c r="H55" s="82">
        <f t="shared" si="0"/>
        <v>49.46900000000005</v>
      </c>
    </row>
    <row r="56" spans="1:8" ht="15">
      <c r="A56" s="77" t="s">
        <v>94</v>
      </c>
      <c r="B56" s="78" t="s">
        <v>95</v>
      </c>
      <c r="C56" s="212">
        <v>321.44708449003576</v>
      </c>
      <c r="D56" s="213"/>
      <c r="E56" s="73">
        <v>290.806</v>
      </c>
      <c r="F56" s="73">
        <v>270.12</v>
      </c>
      <c r="G56" s="81">
        <v>57.096636</v>
      </c>
      <c r="H56" s="82">
        <f t="shared" si="0"/>
        <v>20.68599999999998</v>
      </c>
    </row>
    <row r="57" spans="1:8" ht="27.75" customHeight="1">
      <c r="A57" s="77" t="s">
        <v>96</v>
      </c>
      <c r="B57" s="78" t="s">
        <v>97</v>
      </c>
      <c r="C57" s="212">
        <v>106.01033758638555</v>
      </c>
      <c r="D57" s="213"/>
      <c r="E57" s="73">
        <v>152.264</v>
      </c>
      <c r="F57" s="73">
        <v>141.39</v>
      </c>
      <c r="G57" s="81">
        <v>29.056974</v>
      </c>
      <c r="H57" s="82">
        <f t="shared" si="0"/>
        <v>10.874000000000024</v>
      </c>
    </row>
    <row r="58" spans="1:8" s="158" customFormat="1" ht="15">
      <c r="A58" s="77" t="s">
        <v>98</v>
      </c>
      <c r="B58" s="78" t="s">
        <v>99</v>
      </c>
      <c r="C58" s="212">
        <v>259.9490048971248</v>
      </c>
      <c r="D58" s="213"/>
      <c r="E58" s="73">
        <v>252.25</v>
      </c>
      <c r="F58" s="73">
        <v>234.66</v>
      </c>
      <c r="G58" s="81">
        <v>48.258738</v>
      </c>
      <c r="H58" s="82">
        <f t="shared" si="0"/>
        <v>17.590000000000003</v>
      </c>
    </row>
    <row r="59" spans="1:8" s="159" customFormat="1" ht="16.5">
      <c r="A59" s="77" t="s">
        <v>100</v>
      </c>
      <c r="B59" s="78" t="s">
        <v>101</v>
      </c>
      <c r="C59" s="212">
        <v>1125.2935153073936</v>
      </c>
      <c r="D59" s="213"/>
      <c r="E59" s="73">
        <v>1098.53</v>
      </c>
      <c r="F59" s="73">
        <v>1041.22</v>
      </c>
      <c r="G59" s="81">
        <v>206.895828</v>
      </c>
      <c r="H59" s="82">
        <f t="shared" si="0"/>
        <v>57.309999999999945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>
        <f t="shared" si="0"/>
        <v>0</v>
      </c>
    </row>
    <row r="61" spans="1:8" ht="28.5">
      <c r="A61" s="77" t="s">
        <v>104</v>
      </c>
      <c r="B61" s="78" t="s">
        <v>105</v>
      </c>
      <c r="C61" s="212">
        <v>2.4287872992185116</v>
      </c>
      <c r="D61" s="213"/>
      <c r="E61" s="73">
        <v>2.614</v>
      </c>
      <c r="F61" s="73">
        <v>2.53</v>
      </c>
      <c r="G61" s="81">
        <v>0.445074</v>
      </c>
      <c r="H61" s="82">
        <f t="shared" si="0"/>
        <v>0.08400000000000007</v>
      </c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46.5" customHeight="1" hidden="1" thickBot="1" thickTop="1">
      <c r="A63" s="216" t="s">
        <v>108</v>
      </c>
      <c r="B63" s="217" t="s">
        <v>109</v>
      </c>
      <c r="C63" s="218">
        <v>577.1766559999999</v>
      </c>
      <c r="D63" s="218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221">
        <v>7132.9567916311535</v>
      </c>
      <c r="D64" s="222"/>
      <c r="E64" s="166">
        <v>6096.3966</v>
      </c>
      <c r="F64" s="166">
        <v>5493.04997</v>
      </c>
      <c r="G64" s="167">
        <v>390.774972</v>
      </c>
      <c r="H64" s="168">
        <f>E64-F64</f>
        <v>603.34663</v>
      </c>
    </row>
    <row r="65" spans="1:8" ht="15.75" thickTop="1">
      <c r="A65" s="169"/>
      <c r="B65" s="170" t="s">
        <v>113</v>
      </c>
      <c r="C65" s="223">
        <v>2849.458050350157</v>
      </c>
      <c r="D65" s="224"/>
      <c r="E65" s="225">
        <v>2046.3511</v>
      </c>
      <c r="F65" s="225">
        <v>1911.524</v>
      </c>
      <c r="G65" s="163">
        <v>390.774972</v>
      </c>
      <c r="H65" s="226">
        <f>E65-F65</f>
        <v>134.8271000000002</v>
      </c>
    </row>
    <row r="66" spans="1:8" ht="15">
      <c r="A66" s="101"/>
      <c r="B66" s="116" t="s">
        <v>114</v>
      </c>
      <c r="C66" s="227">
        <v>1141.1564367777917</v>
      </c>
      <c r="D66" s="228"/>
      <c r="E66" s="229">
        <v>1070.93379</v>
      </c>
      <c r="F66" s="229">
        <v>966.205</v>
      </c>
      <c r="G66" s="81"/>
      <c r="H66" s="179">
        <f>E66-F66</f>
        <v>104.72879</v>
      </c>
    </row>
    <row r="67" spans="1:8" ht="15">
      <c r="A67" s="101"/>
      <c r="B67" s="116" t="s">
        <v>115</v>
      </c>
      <c r="C67" s="227">
        <v>991.617568488926</v>
      </c>
      <c r="D67" s="228"/>
      <c r="E67" s="229">
        <v>949.71214</v>
      </c>
      <c r="F67" s="229">
        <v>850.45</v>
      </c>
      <c r="G67" s="119"/>
      <c r="H67" s="179">
        <f>E67-F67</f>
        <v>99.26213999999993</v>
      </c>
    </row>
    <row r="68" spans="1:8" ht="15">
      <c r="A68" s="101"/>
      <c r="B68" s="116" t="s">
        <v>116</v>
      </c>
      <c r="C68" s="227">
        <v>1322.5326696600462</v>
      </c>
      <c r="D68" s="228"/>
      <c r="E68" s="229">
        <v>1270.31495</v>
      </c>
      <c r="F68" s="229">
        <v>1144.27</v>
      </c>
      <c r="G68" s="119"/>
      <c r="H68" s="179">
        <f>E68-F68</f>
        <v>126.04494999999997</v>
      </c>
    </row>
    <row r="69" spans="1:8" ht="15.75" thickBot="1">
      <c r="A69" s="105"/>
      <c r="B69" s="174" t="s">
        <v>117</v>
      </c>
      <c r="C69" s="227">
        <v>828.1920663542334</v>
      </c>
      <c r="D69" s="228"/>
      <c r="E69" s="230">
        <v>759.08462</v>
      </c>
      <c r="F69" s="230">
        <v>620.60097</v>
      </c>
      <c r="G69" s="231"/>
      <c r="H69" s="232">
        <f>172.21738+29.27153</f>
        <v>201.48890999999998</v>
      </c>
    </row>
    <row r="70" spans="1:8" ht="19.5" thickBot="1" thickTop="1">
      <c r="A70" s="109" t="s">
        <v>118</v>
      </c>
      <c r="B70" s="233" t="s">
        <v>119</v>
      </c>
      <c r="C70" s="221">
        <v>11126.802751227317</v>
      </c>
      <c r="D70" s="222"/>
      <c r="E70" s="234">
        <v>10548.5786</v>
      </c>
      <c r="F70" s="234">
        <v>9713.62997</v>
      </c>
      <c r="G70" s="234">
        <v>1229.294388</v>
      </c>
      <c r="H70" s="235">
        <f>H25+H64</f>
        <v>834.9486299999999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35.03276</v>
      </c>
      <c r="F71" s="234">
        <v>33.9205</v>
      </c>
      <c r="G71" s="234">
        <v>0</v>
      </c>
      <c r="H71" s="235">
        <f>E71-F71</f>
        <v>1.1122600000000062</v>
      </c>
    </row>
    <row r="72" spans="1:8" ht="15.75" thickTop="1">
      <c r="A72" s="176"/>
      <c r="B72" s="170" t="s">
        <v>122</v>
      </c>
      <c r="C72" s="223"/>
      <c r="D72" s="224"/>
      <c r="E72" s="117">
        <v>35.03276</v>
      </c>
      <c r="F72" s="117">
        <v>33.9205</v>
      </c>
      <c r="G72" s="117"/>
      <c r="H72" s="226">
        <f>E72-F72</f>
        <v>1.1122600000000062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112.29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12.60507</v>
      </c>
      <c r="D75" s="239"/>
      <c r="E75" s="240">
        <v>12.60507</v>
      </c>
      <c r="F75" s="240">
        <v>11.52645</v>
      </c>
      <c r="G75" s="240"/>
      <c r="H75" s="241">
        <f>E75-F75</f>
        <v>1.078619999999999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9221.150889999999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3906.7819999999997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5297.33663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17.032260000000008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4">
    <tabColor theme="6" tint="-0.24997000396251678"/>
  </sheetPr>
  <dimension ref="A1:H104"/>
  <sheetViews>
    <sheetView zoomScaleSheetLayoutView="85" zoomScalePageLayoutView="0" workbookViewId="0" topLeftCell="B1">
      <selection activeCell="F75" sqref="F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00390625" style="2" customWidth="1"/>
    <col min="4" max="4" width="10.57421875" style="2" customWidth="1"/>
    <col min="5" max="5" width="20.57421875" style="2" customWidth="1"/>
    <col min="6" max="6" width="23.8515625" style="2" customWidth="1"/>
    <col min="7" max="7" width="23.7109375" style="2" customWidth="1"/>
    <col min="8" max="8" width="28.281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3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8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3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1227.43</v>
      </c>
      <c r="F19" s="39" t="s">
        <v>20</v>
      </c>
    </row>
    <row r="20" spans="1:6" s="8" customFormat="1" ht="18">
      <c r="A20" s="35"/>
      <c r="B20" s="8" t="s">
        <v>21</v>
      </c>
      <c r="E20" s="146">
        <v>749.42</v>
      </c>
      <c r="F20" s="8" t="s">
        <v>20</v>
      </c>
    </row>
    <row r="21" spans="1:6" s="8" customFormat="1" ht="18">
      <c r="A21" s="41"/>
      <c r="B21" s="8" t="s">
        <v>22</v>
      </c>
      <c r="E21" s="146">
        <v>449.29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28.72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2794.1182652191583</v>
      </c>
      <c r="D25" s="57">
        <v>0</v>
      </c>
      <c r="E25" s="58">
        <v>2854.674</v>
      </c>
      <c r="F25" s="58">
        <v>2847.42</v>
      </c>
      <c r="G25" s="58">
        <v>44.4125952</v>
      </c>
      <c r="H25" s="59">
        <f>E25-F25</f>
        <v>7.253999999999905</v>
      </c>
    </row>
    <row r="26" spans="1:8" s="30" customFormat="1" ht="18">
      <c r="A26" s="60" t="s">
        <v>36</v>
      </c>
      <c r="B26" s="61" t="s">
        <v>37</v>
      </c>
      <c r="C26" s="62">
        <v>569.30789</v>
      </c>
      <c r="D26" s="62"/>
      <c r="E26" s="63">
        <v>823.124</v>
      </c>
      <c r="F26" s="63">
        <v>820.91</v>
      </c>
      <c r="G26" s="63">
        <v>13.5016992</v>
      </c>
      <c r="H26" s="64">
        <f>E26-F26</f>
        <v>2.2140000000000555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2224.8103752191582</v>
      </c>
      <c r="D50" s="62">
        <v>0</v>
      </c>
      <c r="E50" s="63">
        <v>2031.5500000000002</v>
      </c>
      <c r="F50" s="63">
        <v>2026.51</v>
      </c>
      <c r="G50" s="63">
        <v>30.910896</v>
      </c>
      <c r="H50" s="64">
        <f aca="true" t="shared" si="0" ref="H50:H62">E50-F50</f>
        <v>5.040000000000191</v>
      </c>
    </row>
    <row r="51" spans="1:8" ht="15">
      <c r="A51" s="77" t="s">
        <v>84</v>
      </c>
      <c r="B51" s="78" t="s">
        <v>85</v>
      </c>
      <c r="C51" s="79">
        <v>607.8434759705779</v>
      </c>
      <c r="D51" s="80"/>
      <c r="E51" s="73">
        <v>311.766</v>
      </c>
      <c r="F51" s="73">
        <v>316.63</v>
      </c>
      <c r="G51" s="81">
        <v>4.943491200000001</v>
      </c>
      <c r="H51" s="82">
        <f t="shared" si="0"/>
        <v>-4.863999999999976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64.71271817577481</v>
      </c>
      <c r="D53" s="80"/>
      <c r="E53" s="73">
        <v>63.316</v>
      </c>
      <c r="F53" s="73">
        <v>64.35</v>
      </c>
      <c r="G53" s="81">
        <v>1.0078416000000001</v>
      </c>
      <c r="H53" s="82">
        <f t="shared" si="0"/>
        <v>-1.0339999999999918</v>
      </c>
    </row>
    <row r="54" spans="1:8" ht="15">
      <c r="A54" s="77" t="s">
        <v>90</v>
      </c>
      <c r="B54" s="78" t="s">
        <v>91</v>
      </c>
      <c r="C54" s="79">
        <v>272.48327939833064</v>
      </c>
      <c r="D54" s="80"/>
      <c r="E54" s="73">
        <v>260.837</v>
      </c>
      <c r="F54" s="73">
        <v>264.81</v>
      </c>
      <c r="G54" s="81">
        <v>4.0313664000000005</v>
      </c>
      <c r="H54" s="82">
        <f t="shared" si="0"/>
        <v>-3.973000000000013</v>
      </c>
    </row>
    <row r="55" spans="1:8" ht="31.5" customHeight="1">
      <c r="A55" s="77" t="s">
        <v>92</v>
      </c>
      <c r="B55" s="78" t="s">
        <v>93</v>
      </c>
      <c r="C55" s="79">
        <v>548.1985204876365</v>
      </c>
      <c r="D55" s="80"/>
      <c r="E55" s="73">
        <v>686.849</v>
      </c>
      <c r="F55" s="73">
        <v>662.6</v>
      </c>
      <c r="G55" s="81">
        <v>10.4218704</v>
      </c>
      <c r="H55" s="82">
        <f t="shared" si="0"/>
        <v>24.249000000000024</v>
      </c>
    </row>
    <row r="56" spans="1:8" ht="15">
      <c r="A56" s="77" t="s">
        <v>94</v>
      </c>
      <c r="B56" s="78" t="s">
        <v>95</v>
      </c>
      <c r="C56" s="79">
        <v>414.60402052150266</v>
      </c>
      <c r="D56" s="80"/>
      <c r="E56" s="73">
        <v>375.083</v>
      </c>
      <c r="F56" s="73">
        <v>380.69</v>
      </c>
      <c r="G56" s="81">
        <v>6.2047007999999995</v>
      </c>
      <c r="H56" s="82">
        <f t="shared" si="0"/>
        <v>-5.606999999999971</v>
      </c>
    </row>
    <row r="57" spans="1:8" ht="15">
      <c r="A57" s="77" t="s">
        <v>96</v>
      </c>
      <c r="B57" s="78" t="s">
        <v>97</v>
      </c>
      <c r="C57" s="79">
        <v>10.540879729009333</v>
      </c>
      <c r="D57" s="80"/>
      <c r="E57" s="73">
        <v>15.14</v>
      </c>
      <c r="F57" s="73">
        <v>15.38</v>
      </c>
      <c r="G57" s="81">
        <v>0.24210719999999997</v>
      </c>
      <c r="H57" s="82">
        <f t="shared" si="0"/>
        <v>-0.2400000000000002</v>
      </c>
    </row>
    <row r="58" spans="1:8" s="30" customFormat="1" ht="15.75">
      <c r="A58" s="77" t="s">
        <v>98</v>
      </c>
      <c r="B58" s="78" t="s">
        <v>99</v>
      </c>
      <c r="C58" s="79">
        <v>255.32299465734997</v>
      </c>
      <c r="D58" s="80"/>
      <c r="E58" s="73">
        <v>247.761</v>
      </c>
      <c r="F58" s="73">
        <v>251.43</v>
      </c>
      <c r="G58" s="81">
        <v>4.020105600000001</v>
      </c>
      <c r="H58" s="82">
        <f t="shared" si="0"/>
        <v>-3.669000000000011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2.5570094290165812</v>
      </c>
      <c r="D61" s="80"/>
      <c r="E61" s="73">
        <v>2.752</v>
      </c>
      <c r="F61" s="73">
        <v>2.85</v>
      </c>
      <c r="G61" s="81">
        <v>0.039412800000000005</v>
      </c>
      <c r="H61" s="82">
        <f t="shared" si="0"/>
        <v>-0.09800000000000031</v>
      </c>
    </row>
    <row r="62" spans="1:8" s="30" customFormat="1" ht="16.5" thickBot="1">
      <c r="A62" s="83" t="s">
        <v>106</v>
      </c>
      <c r="B62" s="84" t="s">
        <v>107</v>
      </c>
      <c r="C62" s="85">
        <v>48.54747684995967</v>
      </c>
      <c r="D62" s="86"/>
      <c r="E62" s="87">
        <v>68.046</v>
      </c>
      <c r="F62" s="87">
        <v>67.77</v>
      </c>
      <c r="G62" s="88">
        <v>0</v>
      </c>
      <c r="H62" s="89">
        <f t="shared" si="0"/>
        <v>0.27600000000001046</v>
      </c>
    </row>
    <row r="63" spans="1:8" ht="46.5" hidden="1" thickBot="1" thickTop="1">
      <c r="A63" s="90" t="s">
        <v>108</v>
      </c>
      <c r="B63" s="91" t="s">
        <v>109</v>
      </c>
      <c r="C63" s="92">
        <v>265.1038091999999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3524.75147093732</v>
      </c>
      <c r="D64" s="98"/>
      <c r="E64" s="99">
        <v>3420.42055</v>
      </c>
      <c r="F64" s="99">
        <v>3197.4656099999997</v>
      </c>
      <c r="G64" s="99">
        <v>34.6044384</v>
      </c>
      <c r="H64" s="100">
        <f>E64-F64</f>
        <v>222.95494000000008</v>
      </c>
    </row>
    <row r="65" spans="1:8" ht="15">
      <c r="A65" s="101"/>
      <c r="B65" s="102" t="s">
        <v>113</v>
      </c>
      <c r="C65" s="103">
        <v>2195.200451791639</v>
      </c>
      <c r="D65" s="103"/>
      <c r="E65" s="73">
        <v>2172.6853</v>
      </c>
      <c r="F65" s="73">
        <v>2097.959</v>
      </c>
      <c r="G65" s="81">
        <v>34.6044384</v>
      </c>
      <c r="H65" s="104">
        <f>E65-F65</f>
        <v>74.72630000000026</v>
      </c>
    </row>
    <row r="66" spans="1:8" ht="15">
      <c r="A66" s="101"/>
      <c r="B66" s="102" t="s">
        <v>114</v>
      </c>
      <c r="C66" s="103">
        <v>330.4208031870095</v>
      </c>
      <c r="D66" s="103"/>
      <c r="E66" s="73">
        <v>310.0879</v>
      </c>
      <c r="F66" s="73">
        <v>273.758</v>
      </c>
      <c r="G66" s="81"/>
      <c r="H66" s="104">
        <f>E66-F66</f>
        <v>36.32990000000001</v>
      </c>
    </row>
    <row r="67" spans="1:8" ht="15">
      <c r="A67" s="101"/>
      <c r="B67" s="102" t="s">
        <v>115</v>
      </c>
      <c r="C67" s="103">
        <v>293.2988310574171</v>
      </c>
      <c r="D67" s="103"/>
      <c r="E67" s="73">
        <v>275.25028</v>
      </c>
      <c r="F67" s="73">
        <v>243.078</v>
      </c>
      <c r="G67" s="81"/>
      <c r="H67" s="104">
        <f>E67-F67</f>
        <v>32.17227999999997</v>
      </c>
    </row>
    <row r="68" spans="1:8" ht="15">
      <c r="A68" s="101"/>
      <c r="B68" s="102" t="s">
        <v>116</v>
      </c>
      <c r="C68" s="103">
        <v>392.05393348876606</v>
      </c>
      <c r="D68" s="103"/>
      <c r="E68" s="73">
        <v>367.92835</v>
      </c>
      <c r="F68" s="73">
        <v>322.188</v>
      </c>
      <c r="G68" s="81"/>
      <c r="H68" s="104">
        <f>E68-F68</f>
        <v>45.740350000000035</v>
      </c>
    </row>
    <row r="69" spans="1:8" ht="15.75" thickBot="1">
      <c r="A69" s="105"/>
      <c r="B69" s="106" t="s">
        <v>117</v>
      </c>
      <c r="C69" s="107">
        <v>313.7774514124885</v>
      </c>
      <c r="D69" s="107"/>
      <c r="E69" s="87">
        <v>294.46871999999996</v>
      </c>
      <c r="F69" s="87">
        <v>260.48260999999997</v>
      </c>
      <c r="G69" s="88"/>
      <c r="H69" s="108">
        <f>(22809.03+34762.3871999999)/1000</f>
        <v>57.5714171999999</v>
      </c>
    </row>
    <row r="70" spans="1:8" ht="19.5" thickBot="1" thickTop="1">
      <c r="A70" s="109" t="s">
        <v>118</v>
      </c>
      <c r="B70" s="110" t="s">
        <v>119</v>
      </c>
      <c r="C70" s="111">
        <v>6318.869736156478</v>
      </c>
      <c r="D70" s="111"/>
      <c r="E70" s="112">
        <v>6275.09455</v>
      </c>
      <c r="F70" s="112">
        <v>6044.885609999999</v>
      </c>
      <c r="G70" s="112">
        <v>79.01703359999999</v>
      </c>
      <c r="H70" s="113">
        <f>H25+H64</f>
        <v>230.20893999999998</v>
      </c>
    </row>
    <row r="71" spans="1:8" ht="19.5" thickBot="1" thickTop="1">
      <c r="A71" s="109" t="s">
        <v>120</v>
      </c>
      <c r="B71" s="110" t="s">
        <v>121</v>
      </c>
      <c r="C71" s="114">
        <v>14699.62226</v>
      </c>
      <c r="D71" s="114"/>
      <c r="E71" s="112">
        <v>210.69711999999998</v>
      </c>
      <c r="F71" s="112">
        <v>213.07463</v>
      </c>
      <c r="G71" s="112">
        <v>14699.62226</v>
      </c>
      <c r="H71" s="113">
        <f>E71-F71</f>
        <v>-2.3775100000000293</v>
      </c>
    </row>
    <row r="72" spans="1:8" ht="15.75" thickTop="1">
      <c r="A72" s="115"/>
      <c r="B72" s="116" t="s">
        <v>122</v>
      </c>
      <c r="C72" s="103"/>
      <c r="D72" s="103"/>
      <c r="E72" s="81">
        <v>192.73674</v>
      </c>
      <c r="F72" s="81">
        <v>195.11423000000002</v>
      </c>
      <c r="G72" s="117"/>
      <c r="H72" s="104">
        <f>E72-F72</f>
        <v>-2.377490000000023</v>
      </c>
    </row>
    <row r="73" spans="1:8" ht="15">
      <c r="A73" s="115"/>
      <c r="B73" s="116" t="s">
        <v>123</v>
      </c>
      <c r="C73" s="118"/>
      <c r="D73" s="118"/>
      <c r="E73" s="81">
        <v>17.96038</v>
      </c>
      <c r="F73" s="81">
        <v>17.9604</v>
      </c>
      <c r="G73" s="119"/>
      <c r="H73" s="104">
        <f>E73-F73</f>
        <v>-1.9999999999242846E-05</v>
      </c>
    </row>
    <row r="74" spans="1:8" ht="29.25" thickBot="1">
      <c r="A74" s="120"/>
      <c r="B74" s="121" t="s">
        <v>124</v>
      </c>
      <c r="C74" s="122"/>
      <c r="D74" s="123"/>
      <c r="E74" s="124">
        <v>785.006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410.41854</v>
      </c>
      <c r="D75" s="114"/>
      <c r="E75" s="112">
        <v>410.41854</v>
      </c>
      <c r="F75" s="112">
        <v>410.41854</v>
      </c>
      <c r="G75" s="112"/>
      <c r="H75" s="113">
        <f>E75-F75</f>
        <v>0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1455.26145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756.6739999999999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672.24494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26.342509999999976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1:8" s="137" customFormat="1" ht="18">
      <c r="A82" s="134"/>
      <c r="B82" s="135" t="s">
        <v>134</v>
      </c>
      <c r="C82" s="135"/>
      <c r="D82" s="135"/>
      <c r="E82" s="135"/>
      <c r="F82" s="135"/>
      <c r="G82" s="135"/>
      <c r="H82" s="351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5">
    <tabColor rgb="FF00B050"/>
  </sheetPr>
  <dimension ref="A1:H104"/>
  <sheetViews>
    <sheetView zoomScaleSheetLayoutView="85" zoomScalePageLayoutView="0" workbookViewId="0" topLeftCell="A1">
      <selection activeCell="F25" sqref="F2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7109375" style="2" customWidth="1"/>
    <col min="4" max="4" width="9.57421875" style="2" customWidth="1"/>
    <col min="5" max="5" width="18.8515625" style="2" customWidth="1"/>
    <col min="6" max="7" width="23.8515625" style="2" customWidth="1"/>
    <col min="8" max="8" width="17.574218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5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162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5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4342.240000000001</v>
      </c>
      <c r="F19" s="39" t="s">
        <v>20</v>
      </c>
    </row>
    <row r="20" spans="1:6" s="8" customFormat="1" ht="18">
      <c r="A20" s="35"/>
      <c r="B20" s="8" t="s">
        <v>21</v>
      </c>
      <c r="E20" s="40">
        <v>2122.71</v>
      </c>
      <c r="F20" s="8" t="s">
        <v>20</v>
      </c>
    </row>
    <row r="21" spans="1:6" s="8" customFormat="1" ht="18">
      <c r="A21" s="41"/>
      <c r="B21" s="8" t="s">
        <v>22</v>
      </c>
      <c r="E21" s="40">
        <v>2130.23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40">
        <v>89.3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0" customFormat="1" ht="21.75" customHeight="1">
      <c r="A25" s="55" t="s">
        <v>34</v>
      </c>
      <c r="B25" s="56" t="s">
        <v>35</v>
      </c>
      <c r="C25" s="57">
        <v>3393.868384948525</v>
      </c>
      <c r="D25" s="57">
        <v>0</v>
      </c>
      <c r="E25" s="58">
        <v>3461.748</v>
      </c>
      <c r="F25" s="352">
        <v>3503.0699999999997</v>
      </c>
      <c r="G25" s="58">
        <v>143.09620800000002</v>
      </c>
      <c r="H25" s="59">
        <f>E25-F25</f>
        <v>-41.32199999999966</v>
      </c>
    </row>
    <row r="26" spans="1:8" s="30" customFormat="1" ht="18">
      <c r="A26" s="60" t="s">
        <v>36</v>
      </c>
      <c r="B26" s="61" t="s">
        <v>37</v>
      </c>
      <c r="C26" s="62">
        <v>696.63768</v>
      </c>
      <c r="D26" s="62"/>
      <c r="E26" s="63">
        <v>1018.48</v>
      </c>
      <c r="F26" s="63">
        <v>1026.4</v>
      </c>
      <c r="G26" s="63">
        <v>43.50211800000001</v>
      </c>
      <c r="H26" s="64">
        <f>E26-F26</f>
        <v>-7.920000000000073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2697.2307049485253</v>
      </c>
      <c r="D50" s="62">
        <v>0</v>
      </c>
      <c r="E50" s="63">
        <v>2443.268</v>
      </c>
      <c r="F50" s="63">
        <v>2476.6699999999996</v>
      </c>
      <c r="G50" s="63">
        <v>99.59409000000001</v>
      </c>
      <c r="H50" s="64">
        <f aca="true" t="shared" si="0" ref="H50:H62">E50-F50</f>
        <v>-33.40199999999959</v>
      </c>
    </row>
    <row r="51" spans="1:8" ht="15">
      <c r="A51" s="77" t="s">
        <v>84</v>
      </c>
      <c r="B51" s="78" t="s">
        <v>85</v>
      </c>
      <c r="C51" s="79">
        <v>747.9122807814881</v>
      </c>
      <c r="D51" s="80"/>
      <c r="E51" s="73">
        <v>383.608</v>
      </c>
      <c r="F51" s="73">
        <v>388.84</v>
      </c>
      <c r="G51" s="81">
        <v>15.927798000000005</v>
      </c>
      <c r="H51" s="82">
        <f t="shared" si="0"/>
        <v>-5.231999999999971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79.62558808073926</v>
      </c>
      <c r="D53" s="80"/>
      <c r="E53" s="73">
        <v>77.907</v>
      </c>
      <c r="F53" s="73">
        <v>78.82</v>
      </c>
      <c r="G53" s="81">
        <v>3.247239000000001</v>
      </c>
      <c r="H53" s="82">
        <f t="shared" si="0"/>
        <v>-0.9129999999999967</v>
      </c>
    </row>
    <row r="54" spans="1:8" ht="15">
      <c r="A54" s="77" t="s">
        <v>90</v>
      </c>
      <c r="B54" s="78" t="s">
        <v>91</v>
      </c>
      <c r="C54" s="79">
        <v>335.27299094813395</v>
      </c>
      <c r="D54" s="80"/>
      <c r="E54" s="73">
        <v>320.943</v>
      </c>
      <c r="F54" s="73">
        <v>325.44</v>
      </c>
      <c r="G54" s="81">
        <v>12.988956000000003</v>
      </c>
      <c r="H54" s="82">
        <f t="shared" si="0"/>
        <v>-4.497000000000014</v>
      </c>
    </row>
    <row r="55" spans="1:8" ht="31.5" customHeight="1">
      <c r="A55" s="77" t="s">
        <v>92</v>
      </c>
      <c r="B55" s="78" t="s">
        <v>93</v>
      </c>
      <c r="C55" s="79">
        <v>674.5226071961564</v>
      </c>
      <c r="D55" s="80"/>
      <c r="E55" s="73">
        <v>845.123</v>
      </c>
      <c r="F55" s="73">
        <v>856.5</v>
      </c>
      <c r="G55" s="81">
        <v>33.578991</v>
      </c>
      <c r="H55" s="82">
        <f t="shared" si="0"/>
        <v>-11.376999999999953</v>
      </c>
    </row>
    <row r="56" spans="1:8" ht="15">
      <c r="A56" s="77" t="s">
        <v>94</v>
      </c>
      <c r="B56" s="78" t="s">
        <v>95</v>
      </c>
      <c r="C56" s="79">
        <v>510.1430204274288</v>
      </c>
      <c r="D56" s="80"/>
      <c r="E56" s="73">
        <v>461.515</v>
      </c>
      <c r="F56" s="73">
        <v>467.66</v>
      </c>
      <c r="G56" s="81">
        <v>19.991382</v>
      </c>
      <c r="H56" s="82">
        <f t="shared" si="0"/>
        <v>-6.145000000000039</v>
      </c>
    </row>
    <row r="57" spans="1:8" ht="15">
      <c r="A57" s="77" t="s">
        <v>96</v>
      </c>
      <c r="B57" s="78" t="s">
        <v>97</v>
      </c>
      <c r="C57" s="79">
        <v>12.970016411606004</v>
      </c>
      <c r="D57" s="80"/>
      <c r="E57" s="73">
        <v>18.629</v>
      </c>
      <c r="F57" s="73">
        <v>18.92</v>
      </c>
      <c r="G57" s="81">
        <v>0.7800630000000002</v>
      </c>
      <c r="H57" s="82">
        <f t="shared" si="0"/>
        <v>-0.29100000000000037</v>
      </c>
    </row>
    <row r="58" spans="1:8" s="30" customFormat="1" ht="15.75">
      <c r="A58" s="77" t="s">
        <v>98</v>
      </c>
      <c r="B58" s="78" t="s">
        <v>99</v>
      </c>
      <c r="C58" s="79">
        <v>314.1585488162857</v>
      </c>
      <c r="D58" s="80"/>
      <c r="E58" s="73">
        <v>304.854</v>
      </c>
      <c r="F58" s="73">
        <v>308.97</v>
      </c>
      <c r="G58" s="81">
        <v>12.952674000000004</v>
      </c>
      <c r="H58" s="82">
        <f t="shared" si="0"/>
        <v>-4.116000000000042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3.147017055261323</v>
      </c>
      <c r="D61" s="80"/>
      <c r="E61" s="73">
        <v>3.387</v>
      </c>
      <c r="F61" s="73">
        <v>3.5</v>
      </c>
      <c r="G61" s="81">
        <v>0.12698700000000002</v>
      </c>
      <c r="H61" s="82">
        <f t="shared" si="0"/>
        <v>-0.11299999999999999</v>
      </c>
    </row>
    <row r="62" spans="1:8" s="30" customFormat="1" ht="16.5" thickBot="1">
      <c r="A62" s="83" t="s">
        <v>106</v>
      </c>
      <c r="B62" s="84" t="s">
        <v>107</v>
      </c>
      <c r="C62" s="85">
        <v>19.478635231425784</v>
      </c>
      <c r="D62" s="86"/>
      <c r="E62" s="87">
        <v>27.302</v>
      </c>
      <c r="F62" s="87">
        <v>28.02</v>
      </c>
      <c r="G62" s="88">
        <v>0</v>
      </c>
      <c r="H62" s="89">
        <f t="shared" si="0"/>
        <v>-0.718</v>
      </c>
    </row>
    <row r="63" spans="1:8" ht="46.5" hidden="1" thickBot="1" thickTop="1">
      <c r="A63" s="90" t="s">
        <v>108</v>
      </c>
      <c r="B63" s="91" t="s">
        <v>109</v>
      </c>
      <c r="C63" s="92">
        <v>373.26443800000015</v>
      </c>
      <c r="D63" s="93"/>
      <c r="E63" s="94" t="s">
        <v>110</v>
      </c>
      <c r="F63" s="94"/>
      <c r="G63" s="94"/>
      <c r="H63" s="95"/>
    </row>
    <row r="64" spans="1:8" ht="18.75" thickTop="1">
      <c r="A64" s="96" t="s">
        <v>111</v>
      </c>
      <c r="B64" s="97" t="s">
        <v>112</v>
      </c>
      <c r="C64" s="98">
        <v>4831.250726144744</v>
      </c>
      <c r="D64" s="98"/>
      <c r="E64" s="99">
        <v>4529.2638099999995</v>
      </c>
      <c r="F64" s="99">
        <v>4381.1371500000005</v>
      </c>
      <c r="G64" s="99">
        <v>111.49458600000001</v>
      </c>
      <c r="H64" s="100">
        <f>E64-F64</f>
        <v>148.126659999999</v>
      </c>
    </row>
    <row r="65" spans="1:8" ht="15">
      <c r="A65" s="101"/>
      <c r="B65" s="102" t="s">
        <v>113</v>
      </c>
      <c r="C65" s="103">
        <v>2856.1441701506687</v>
      </c>
      <c r="D65" s="103"/>
      <c r="E65" s="73">
        <v>2675.69818</v>
      </c>
      <c r="F65" s="73">
        <v>2613.82</v>
      </c>
      <c r="G65" s="81">
        <v>111.49458600000001</v>
      </c>
      <c r="H65" s="104">
        <f>E65-F65</f>
        <v>61.8781799999997</v>
      </c>
    </row>
    <row r="66" spans="1:8" ht="15">
      <c r="A66" s="101"/>
      <c r="B66" s="102" t="s">
        <v>114</v>
      </c>
      <c r="C66" s="103">
        <v>507.9589283794257</v>
      </c>
      <c r="D66" s="103"/>
      <c r="E66" s="73">
        <v>476.70097</v>
      </c>
      <c r="F66" s="73">
        <v>475.881</v>
      </c>
      <c r="G66" s="81"/>
      <c r="H66" s="104">
        <f>E66-F66</f>
        <v>0.8199700000000121</v>
      </c>
    </row>
    <row r="67" spans="1:8" ht="15">
      <c r="A67" s="101"/>
      <c r="B67" s="102" t="s">
        <v>115</v>
      </c>
      <c r="C67" s="103">
        <v>442.85088443912633</v>
      </c>
      <c r="D67" s="103"/>
      <c r="E67" s="73">
        <v>415.59944</v>
      </c>
      <c r="F67" s="73">
        <v>411.204</v>
      </c>
      <c r="G67" s="81"/>
      <c r="H67" s="104">
        <f>E67-F67</f>
        <v>4.395440000000008</v>
      </c>
    </row>
    <row r="68" spans="1:8" ht="15">
      <c r="A68" s="101"/>
      <c r="B68" s="102" t="s">
        <v>116</v>
      </c>
      <c r="C68" s="103">
        <v>594.6316230636255</v>
      </c>
      <c r="D68" s="103"/>
      <c r="E68" s="73">
        <v>558.04014</v>
      </c>
      <c r="F68" s="73">
        <v>561.592</v>
      </c>
      <c r="G68" s="81"/>
      <c r="H68" s="104">
        <f>E68-F68</f>
        <v>-3.5518600000000333</v>
      </c>
    </row>
    <row r="69" spans="1:8" ht="15.75" thickBot="1">
      <c r="A69" s="105"/>
      <c r="B69" s="106" t="s">
        <v>117</v>
      </c>
      <c r="C69" s="107">
        <v>429.6651201118978</v>
      </c>
      <c r="D69" s="107"/>
      <c r="E69" s="87">
        <v>403.22508</v>
      </c>
      <c r="F69" s="87">
        <v>318.64015</v>
      </c>
      <c r="G69" s="88"/>
      <c r="H69" s="108">
        <f>(16157.228+93982.34)/1000</f>
        <v>110.139568</v>
      </c>
    </row>
    <row r="70" spans="1:8" ht="19.5" thickBot="1" thickTop="1">
      <c r="A70" s="109" t="s">
        <v>118</v>
      </c>
      <c r="B70" s="110" t="s">
        <v>119</v>
      </c>
      <c r="C70" s="111">
        <v>8225.119111093269</v>
      </c>
      <c r="D70" s="111"/>
      <c r="E70" s="112">
        <v>7991.01181</v>
      </c>
      <c r="F70" s="112">
        <v>7884.20715</v>
      </c>
      <c r="G70" s="112">
        <v>254.59079400000002</v>
      </c>
      <c r="H70" s="113">
        <f>H25+H64</f>
        <v>106.80465999999933</v>
      </c>
    </row>
    <row r="71" spans="1:8" ht="19.5" thickBot="1" thickTop="1">
      <c r="A71" s="109" t="s">
        <v>120</v>
      </c>
      <c r="B71" s="110" t="s">
        <v>121</v>
      </c>
      <c r="C71" s="114">
        <v>454.20088</v>
      </c>
      <c r="D71" s="114"/>
      <c r="E71" s="112">
        <v>230.40789</v>
      </c>
      <c r="F71" s="112">
        <v>233.39774</v>
      </c>
      <c r="G71" s="112">
        <v>454.20088</v>
      </c>
      <c r="H71" s="113">
        <f>E71-F71</f>
        <v>-2.98984999999999</v>
      </c>
    </row>
    <row r="72" spans="1:8" ht="15.75" thickTop="1">
      <c r="A72" s="115"/>
      <c r="B72" s="116" t="s">
        <v>122</v>
      </c>
      <c r="C72" s="103"/>
      <c r="D72" s="103"/>
      <c r="E72" s="81">
        <v>230.40789</v>
      </c>
      <c r="F72" s="81">
        <v>233.39774</v>
      </c>
      <c r="G72" s="117"/>
      <c r="H72" s="104">
        <f>E72-F72</f>
        <v>-2.98984999999999</v>
      </c>
    </row>
    <row r="73" spans="1:8" ht="15">
      <c r="A73" s="115"/>
      <c r="B73" s="116" t="s">
        <v>123</v>
      </c>
      <c r="C73" s="118"/>
      <c r="D73" s="118"/>
      <c r="E73" s="81"/>
      <c r="F73" s="81"/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508.189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927.08317</v>
      </c>
      <c r="D75" s="114"/>
      <c r="E75" s="112">
        <v>927.08317</v>
      </c>
      <c r="F75" s="112">
        <v>859.14897</v>
      </c>
      <c r="G75" s="112"/>
      <c r="H75" s="113">
        <f>E75-F75</f>
        <v>67.93420000000003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4446.05481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2081.3880000000004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2278.356659999999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86.31015000000001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6">
    <tabColor rgb="FFFF0000"/>
  </sheetPr>
  <dimension ref="A1:H104"/>
  <sheetViews>
    <sheetView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57421875" style="2" customWidth="1"/>
    <col min="4" max="4" width="11.140625" style="2" customWidth="1"/>
    <col min="5" max="5" width="18.8515625" style="2" customWidth="1"/>
    <col min="6" max="7" width="23.8515625" style="2" customWidth="1"/>
    <col min="8" max="8" width="15.00390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7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7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1834.33</v>
      </c>
      <c r="F19" s="39" t="s">
        <v>20</v>
      </c>
    </row>
    <row r="20" spans="1:6" s="8" customFormat="1" ht="18">
      <c r="A20" s="35"/>
      <c r="B20" s="8" t="s">
        <v>21</v>
      </c>
      <c r="E20" s="146">
        <v>1038.75</v>
      </c>
      <c r="F20" s="8" t="s">
        <v>20</v>
      </c>
    </row>
    <row r="21" spans="1:6" s="8" customFormat="1" ht="18">
      <c r="A21" s="41"/>
      <c r="B21" s="8" t="s">
        <v>22</v>
      </c>
      <c r="E21" s="146">
        <v>-278.42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1074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4188.34163426426</v>
      </c>
      <c r="D25" s="57">
        <v>0</v>
      </c>
      <c r="E25" s="58">
        <v>3385.434</v>
      </c>
      <c r="F25" s="58">
        <v>3509.0599999999995</v>
      </c>
      <c r="G25" s="58">
        <v>152.893104</v>
      </c>
      <c r="H25" s="59">
        <f>E25-F25</f>
        <v>-123.6259999999993</v>
      </c>
    </row>
    <row r="26" spans="1:8" s="30" customFormat="1" ht="18">
      <c r="A26" s="60" t="s">
        <v>36</v>
      </c>
      <c r="B26" s="61" t="s">
        <v>37</v>
      </c>
      <c r="C26" s="62">
        <v>1531.67878</v>
      </c>
      <c r="D26" s="62"/>
      <c r="E26" s="63">
        <v>963.55</v>
      </c>
      <c r="F26" s="63">
        <v>1011.66</v>
      </c>
      <c r="G26" s="63">
        <v>46.480434</v>
      </c>
      <c r="H26" s="64">
        <f>E26-F26</f>
        <v>-48.110000000000014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2656.6628542642607</v>
      </c>
      <c r="D50" s="62">
        <v>0</v>
      </c>
      <c r="E50" s="63">
        <v>2421.884</v>
      </c>
      <c r="F50" s="63">
        <v>2497.3999999999996</v>
      </c>
      <c r="G50" s="63">
        <v>106.41267</v>
      </c>
      <c r="H50" s="64">
        <f aca="true" t="shared" si="0" ref="H50:H62">E50-F50</f>
        <v>-75.51599999999962</v>
      </c>
    </row>
    <row r="51" spans="1:8" ht="15">
      <c r="A51" s="77" t="s">
        <v>84</v>
      </c>
      <c r="B51" s="78" t="s">
        <v>85</v>
      </c>
      <c r="C51" s="79">
        <v>728.0704024017014</v>
      </c>
      <c r="D51" s="80"/>
      <c r="E51" s="73">
        <v>373.431</v>
      </c>
      <c r="F51" s="73">
        <v>390.21</v>
      </c>
      <c r="G51" s="81">
        <v>17.018274</v>
      </c>
      <c r="H51" s="82">
        <f t="shared" si="0"/>
        <v>-16.778999999999996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77.51299113100576</v>
      </c>
      <c r="D53" s="80"/>
      <c r="E53" s="73">
        <v>75.84</v>
      </c>
      <c r="F53" s="73">
        <v>79.3</v>
      </c>
      <c r="G53" s="81">
        <v>3.4695570000000004</v>
      </c>
      <c r="H53" s="82">
        <f t="shared" si="0"/>
        <v>-3.4599999999999937</v>
      </c>
    </row>
    <row r="54" spans="1:8" ht="15">
      <c r="A54" s="77" t="s">
        <v>90</v>
      </c>
      <c r="B54" s="78" t="s">
        <v>91</v>
      </c>
      <c r="C54" s="79">
        <v>326.37884387238404</v>
      </c>
      <c r="D54" s="80"/>
      <c r="E54" s="73">
        <v>312.429</v>
      </c>
      <c r="F54" s="73">
        <v>326.34</v>
      </c>
      <c r="G54" s="81">
        <v>13.878228000000002</v>
      </c>
      <c r="H54" s="82">
        <f t="shared" si="0"/>
        <v>-13.911000000000001</v>
      </c>
    </row>
    <row r="55" spans="1:8" ht="31.5" customHeight="1">
      <c r="A55" s="77" t="s">
        <v>92</v>
      </c>
      <c r="B55" s="78" t="s">
        <v>93</v>
      </c>
      <c r="C55" s="79">
        <v>656.6284109036193</v>
      </c>
      <c r="D55" s="80"/>
      <c r="E55" s="73">
        <v>822.703</v>
      </c>
      <c r="F55" s="73">
        <v>816.56</v>
      </c>
      <c r="G55" s="81">
        <v>35.877933</v>
      </c>
      <c r="H55" s="82">
        <f t="shared" si="0"/>
        <v>6.143000000000029</v>
      </c>
    </row>
    <row r="56" spans="1:8" ht="15">
      <c r="A56" s="77" t="s">
        <v>94</v>
      </c>
      <c r="B56" s="78" t="s">
        <v>95</v>
      </c>
      <c r="C56" s="79">
        <v>496.60891830265837</v>
      </c>
      <c r="D56" s="80"/>
      <c r="E56" s="73">
        <v>449.271</v>
      </c>
      <c r="F56" s="73">
        <v>469.16</v>
      </c>
      <c r="G56" s="81">
        <v>21.360066</v>
      </c>
      <c r="H56" s="82">
        <f t="shared" si="0"/>
        <v>-19.88900000000001</v>
      </c>
    </row>
    <row r="57" spans="1:8" ht="15">
      <c r="A57" s="77" t="s">
        <v>96</v>
      </c>
      <c r="B57" s="78" t="s">
        <v>97</v>
      </c>
      <c r="C57" s="79">
        <v>12.626080177383374</v>
      </c>
      <c r="D57" s="80"/>
      <c r="E57" s="73">
        <v>18.135</v>
      </c>
      <c r="F57" s="73">
        <v>18.95</v>
      </c>
      <c r="G57" s="81">
        <v>0.8334690000000001</v>
      </c>
      <c r="H57" s="82">
        <f t="shared" si="0"/>
        <v>-0.8149999999999977</v>
      </c>
    </row>
    <row r="58" spans="1:8" s="30" customFormat="1" ht="15.75">
      <c r="A58" s="77" t="s">
        <v>98</v>
      </c>
      <c r="B58" s="78" t="s">
        <v>99</v>
      </c>
      <c r="C58" s="79">
        <v>305.82369231833553</v>
      </c>
      <c r="D58" s="80"/>
      <c r="E58" s="73">
        <v>296.766</v>
      </c>
      <c r="F58" s="73">
        <v>309.85</v>
      </c>
      <c r="G58" s="81">
        <v>13.839462000000001</v>
      </c>
      <c r="H58" s="82">
        <f t="shared" si="0"/>
        <v>-13.084000000000003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3.063393927132147</v>
      </c>
      <c r="D61" s="80"/>
      <c r="E61" s="73">
        <v>3.297</v>
      </c>
      <c r="F61" s="73">
        <v>3.51</v>
      </c>
      <c r="G61" s="81">
        <v>0.13568100000000002</v>
      </c>
      <c r="H61" s="82">
        <f t="shared" si="0"/>
        <v>-0.21299999999999963</v>
      </c>
    </row>
    <row r="62" spans="1:8" s="30" customFormat="1" ht="16.5" thickBot="1">
      <c r="A62" s="83" t="s">
        <v>106</v>
      </c>
      <c r="B62" s="84" t="s">
        <v>107</v>
      </c>
      <c r="C62" s="85">
        <v>49.95012123004109</v>
      </c>
      <c r="D62" s="86"/>
      <c r="E62" s="87">
        <v>70.012</v>
      </c>
      <c r="F62" s="87">
        <v>83.52</v>
      </c>
      <c r="G62" s="88">
        <v>0</v>
      </c>
      <c r="H62" s="89">
        <f t="shared" si="0"/>
        <v>-13.507999999999996</v>
      </c>
    </row>
    <row r="63" spans="1:8" ht="46.5" hidden="1" thickBot="1" thickTop="1">
      <c r="A63" s="90" t="s">
        <v>108</v>
      </c>
      <c r="B63" s="91" t="s">
        <v>109</v>
      </c>
      <c r="C63" s="92">
        <v>-473.53834600000005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4762.3612370244555</v>
      </c>
      <c r="D64" s="98"/>
      <c r="E64" s="99">
        <v>4352.60677</v>
      </c>
      <c r="F64" s="99">
        <v>4344.70243</v>
      </c>
      <c r="G64" s="99">
        <v>119.12791800000001</v>
      </c>
      <c r="H64" s="100">
        <f>E64-F64</f>
        <v>7.904340000000047</v>
      </c>
    </row>
    <row r="65" spans="1:8" ht="15">
      <c r="A65" s="101"/>
      <c r="B65" s="102" t="s">
        <v>113</v>
      </c>
      <c r="C65" s="103">
        <v>2958.5135750059567</v>
      </c>
      <c r="D65" s="103"/>
      <c r="E65" s="73">
        <v>2659.76138</v>
      </c>
      <c r="F65" s="73">
        <v>2674.366</v>
      </c>
      <c r="G65" s="81">
        <v>119.12791800000001</v>
      </c>
      <c r="H65" s="104">
        <f>E65-F65</f>
        <v>-14.604620000000068</v>
      </c>
    </row>
    <row r="66" spans="1:8" ht="15">
      <c r="A66" s="101"/>
      <c r="B66" s="102" t="s">
        <v>114</v>
      </c>
      <c r="C66" s="103">
        <v>466.5012633644302</v>
      </c>
      <c r="D66" s="103"/>
      <c r="E66" s="73">
        <v>437.79446</v>
      </c>
      <c r="F66" s="73">
        <v>437.688</v>
      </c>
      <c r="G66" s="81"/>
      <c r="H66" s="104">
        <f>E66-F66</f>
        <v>0.10646000000002687</v>
      </c>
    </row>
    <row r="67" spans="1:8" ht="15">
      <c r="A67" s="101"/>
      <c r="B67" s="102" t="s">
        <v>115</v>
      </c>
      <c r="C67" s="103">
        <v>402.1472923492316</v>
      </c>
      <c r="D67" s="103"/>
      <c r="E67" s="73">
        <v>377.4006</v>
      </c>
      <c r="F67" s="73">
        <v>376.607</v>
      </c>
      <c r="G67" s="81"/>
      <c r="H67" s="104">
        <f>E67-F67</f>
        <v>0.7935999999999694</v>
      </c>
    </row>
    <row r="68" spans="1:8" ht="15">
      <c r="A68" s="101"/>
      <c r="B68" s="102" t="s">
        <v>116</v>
      </c>
      <c r="C68" s="103">
        <v>541.5619574594996</v>
      </c>
      <c r="D68" s="103"/>
      <c r="E68" s="73">
        <v>508.23619</v>
      </c>
      <c r="F68" s="73">
        <v>507.069</v>
      </c>
      <c r="G68" s="81"/>
      <c r="H68" s="104">
        <f>E68-F68</f>
        <v>1.167190000000005</v>
      </c>
    </row>
    <row r="69" spans="1:8" ht="15.75" thickBot="1">
      <c r="A69" s="105"/>
      <c r="B69" s="106" t="s">
        <v>117</v>
      </c>
      <c r="C69" s="107">
        <v>393.6371488453383</v>
      </c>
      <c r="D69" s="107"/>
      <c r="E69" s="87">
        <v>369.41414000000003</v>
      </c>
      <c r="F69" s="87">
        <v>348.97243</v>
      </c>
      <c r="G69" s="88"/>
      <c r="H69" s="108">
        <f>(31539.092+21811.95969)/1000</f>
        <v>53.35105169</v>
      </c>
    </row>
    <row r="70" spans="1:8" ht="19.5" thickBot="1" thickTop="1">
      <c r="A70" s="109" t="s">
        <v>118</v>
      </c>
      <c r="B70" s="110" t="s">
        <v>119</v>
      </c>
      <c r="C70" s="111">
        <v>8950.702871288715</v>
      </c>
      <c r="D70" s="111"/>
      <c r="E70" s="112">
        <v>7738.0407700000005</v>
      </c>
      <c r="F70" s="112">
        <v>7853.76243</v>
      </c>
      <c r="G70" s="112">
        <v>272.021022</v>
      </c>
      <c r="H70" s="113">
        <f>H25+H64</f>
        <v>-115.72165999999925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237.78693</v>
      </c>
      <c r="F71" s="112">
        <v>243.63878000000003</v>
      </c>
      <c r="G71" s="112">
        <v>0</v>
      </c>
      <c r="H71" s="113">
        <f>E71-F71</f>
        <v>-5.851850000000013</v>
      </c>
    </row>
    <row r="72" spans="1:8" ht="15.75" thickTop="1">
      <c r="A72" s="115"/>
      <c r="B72" s="116" t="s">
        <v>122</v>
      </c>
      <c r="C72" s="103"/>
      <c r="D72" s="103"/>
      <c r="E72" s="81">
        <v>231.92614</v>
      </c>
      <c r="F72" s="81">
        <v>237.77798</v>
      </c>
      <c r="G72" s="117"/>
      <c r="H72" s="104">
        <f>E72-F72</f>
        <v>-5.85184000000001</v>
      </c>
    </row>
    <row r="73" spans="1:8" ht="15">
      <c r="A73" s="115"/>
      <c r="B73" s="116" t="s">
        <v>123</v>
      </c>
      <c r="C73" s="118"/>
      <c r="D73" s="118"/>
      <c r="E73" s="81">
        <v>5.86079</v>
      </c>
      <c r="F73" s="81">
        <v>5.8608</v>
      </c>
      <c r="G73" s="119"/>
      <c r="H73" s="104">
        <f>E73-F73</f>
        <v>-1.0000000000509601E-05</v>
      </c>
    </row>
    <row r="74" spans="1:8" ht="29.25" thickBot="1">
      <c r="A74" s="120"/>
      <c r="B74" s="121" t="s">
        <v>124</v>
      </c>
      <c r="C74" s="122"/>
      <c r="D74" s="123"/>
      <c r="E74" s="124">
        <v>707.915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864.70912</v>
      </c>
      <c r="D75" s="114"/>
      <c r="E75" s="112">
        <v>864.70912</v>
      </c>
      <c r="F75" s="112">
        <v>846.11205</v>
      </c>
      <c r="G75" s="112"/>
      <c r="H75" s="113">
        <f>E75-F75</f>
        <v>18.59707000000003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1712.7565000000006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915.1240000000007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-270.51565999999997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1068.14816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7">
    <tabColor rgb="FF00B050"/>
  </sheetPr>
  <dimension ref="A1:H104"/>
  <sheetViews>
    <sheetView zoomScaleSheetLayoutView="85" zoomScalePageLayoutView="0" workbookViewId="0" topLeftCell="A1">
      <selection activeCell="E25" sqref="E2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421875" style="2" customWidth="1"/>
    <col min="4" max="4" width="10.421875" style="2" customWidth="1"/>
    <col min="5" max="5" width="18.8515625" style="2" customWidth="1"/>
    <col min="6" max="6" width="23.8515625" style="2" customWidth="1"/>
    <col min="7" max="7" width="24.00390625" style="2" customWidth="1"/>
    <col min="8" max="8" width="20.8515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11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11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3331.2799999999997</v>
      </c>
      <c r="F19" s="39" t="s">
        <v>20</v>
      </c>
    </row>
    <row r="20" spans="1:6" s="8" customFormat="1" ht="18">
      <c r="A20" s="35"/>
      <c r="B20" s="8" t="s">
        <v>21</v>
      </c>
      <c r="E20" s="146">
        <v>1682.45</v>
      </c>
      <c r="F20" s="8" t="s">
        <v>20</v>
      </c>
    </row>
    <row r="21" spans="1:6" s="8" customFormat="1" ht="18">
      <c r="A21" s="41"/>
      <c r="B21" s="8" t="s">
        <v>22</v>
      </c>
      <c r="E21" s="146">
        <v>1565.67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83.16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4530.750998433049</v>
      </c>
      <c r="D25" s="57">
        <v>0</v>
      </c>
      <c r="E25" s="58">
        <v>4378.147000000001</v>
      </c>
      <c r="F25" s="58">
        <v>4437.35</v>
      </c>
      <c r="G25" s="58">
        <v>101.48069759999998</v>
      </c>
      <c r="H25" s="59">
        <f>E25-F25</f>
        <v>-59.20299999999952</v>
      </c>
    </row>
    <row r="26" spans="1:8" s="30" customFormat="1" ht="18">
      <c r="A26" s="60" t="s">
        <v>36</v>
      </c>
      <c r="B26" s="61" t="s">
        <v>37</v>
      </c>
      <c r="C26" s="62">
        <v>1153.57</v>
      </c>
      <c r="D26" s="62"/>
      <c r="E26" s="63">
        <v>1331.13</v>
      </c>
      <c r="F26" s="63">
        <v>1348.95</v>
      </c>
      <c r="G26" s="63">
        <v>30.850749599999997</v>
      </c>
      <c r="H26" s="64">
        <f>E26-F26</f>
        <v>-17.819999999999936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3377.1809984330494</v>
      </c>
      <c r="D50" s="62">
        <v>0</v>
      </c>
      <c r="E50" s="63">
        <v>3047.0170000000003</v>
      </c>
      <c r="F50" s="63">
        <v>3088.4000000000005</v>
      </c>
      <c r="G50" s="63">
        <v>70.629948</v>
      </c>
      <c r="H50" s="64">
        <f aca="true" t="shared" si="0" ref="H50:H62">E50-F50</f>
        <v>-41.383000000000266</v>
      </c>
    </row>
    <row r="51" spans="1:8" ht="15">
      <c r="A51" s="77" t="s">
        <v>84</v>
      </c>
      <c r="B51" s="78" t="s">
        <v>85</v>
      </c>
      <c r="C51" s="79">
        <v>943.2661699332876</v>
      </c>
      <c r="D51" s="80"/>
      <c r="E51" s="73">
        <v>483.806</v>
      </c>
      <c r="F51" s="73">
        <v>490.33</v>
      </c>
      <c r="G51" s="81">
        <v>11.2956456</v>
      </c>
      <c r="H51" s="82">
        <f t="shared" si="0"/>
        <v>-6.524000000000001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100.42347648428405</v>
      </c>
      <c r="D53" s="80"/>
      <c r="E53" s="73">
        <v>98.256</v>
      </c>
      <c r="F53" s="73">
        <v>99.4</v>
      </c>
      <c r="G53" s="81">
        <v>2.3028708</v>
      </c>
      <c r="H53" s="82">
        <f t="shared" si="0"/>
        <v>-1.1440000000000055</v>
      </c>
    </row>
    <row r="54" spans="1:8" ht="15">
      <c r="A54" s="77" t="s">
        <v>90</v>
      </c>
      <c r="B54" s="78" t="s">
        <v>91</v>
      </c>
      <c r="C54" s="79">
        <v>422.84701532060205</v>
      </c>
      <c r="D54" s="80"/>
      <c r="E54" s="73">
        <v>404.774</v>
      </c>
      <c r="F54" s="73">
        <v>410.46</v>
      </c>
      <c r="G54" s="81">
        <v>9.2114832</v>
      </c>
      <c r="H54" s="82">
        <f t="shared" si="0"/>
        <v>-5.685999999999979</v>
      </c>
    </row>
    <row r="55" spans="1:8" ht="31.5" customHeight="1">
      <c r="A55" s="77" t="s">
        <v>92</v>
      </c>
      <c r="B55" s="78" t="s">
        <v>93</v>
      </c>
      <c r="C55" s="79">
        <v>850.7078103537117</v>
      </c>
      <c r="D55" s="80"/>
      <c r="E55" s="73">
        <v>1065.869</v>
      </c>
      <c r="F55" s="73">
        <v>1080.49</v>
      </c>
      <c r="G55" s="81">
        <v>23.813485199999995</v>
      </c>
      <c r="H55" s="82">
        <f t="shared" si="0"/>
        <v>-14.621000000000095</v>
      </c>
    </row>
    <row r="56" spans="1:8" ht="15">
      <c r="A56" s="77" t="s">
        <v>94</v>
      </c>
      <c r="B56" s="78" t="s">
        <v>95</v>
      </c>
      <c r="C56" s="79">
        <v>643.3926890763041</v>
      </c>
      <c r="D56" s="80"/>
      <c r="E56" s="73">
        <v>582.063</v>
      </c>
      <c r="F56" s="73">
        <v>589.72</v>
      </c>
      <c r="G56" s="81">
        <v>14.177450399999996</v>
      </c>
      <c r="H56" s="82">
        <f t="shared" si="0"/>
        <v>-7.657000000000039</v>
      </c>
    </row>
    <row r="57" spans="1:8" ht="15">
      <c r="A57" s="77" t="s">
        <v>96</v>
      </c>
      <c r="B57" s="78" t="s">
        <v>97</v>
      </c>
      <c r="C57" s="79">
        <v>16.358554168613164</v>
      </c>
      <c r="D57" s="80"/>
      <c r="E57" s="73">
        <v>23.496</v>
      </c>
      <c r="F57" s="73">
        <v>23.96</v>
      </c>
      <c r="G57" s="81">
        <v>0.5532036</v>
      </c>
      <c r="H57" s="82">
        <f t="shared" si="0"/>
        <v>-0.4640000000000022</v>
      </c>
    </row>
    <row r="58" spans="1:8" s="30" customFormat="1" ht="15.75">
      <c r="A58" s="77" t="s">
        <v>98</v>
      </c>
      <c r="B58" s="78" t="s">
        <v>99</v>
      </c>
      <c r="C58" s="79">
        <v>396.2169010935831</v>
      </c>
      <c r="D58" s="80"/>
      <c r="E58" s="73">
        <v>384.482</v>
      </c>
      <c r="F58" s="73">
        <v>389.6</v>
      </c>
      <c r="G58" s="81">
        <v>9.1857528</v>
      </c>
      <c r="H58" s="82">
        <f t="shared" si="0"/>
        <v>-5.117999999999995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3.9683820026634518</v>
      </c>
      <c r="D61" s="80"/>
      <c r="E61" s="73">
        <v>4.271</v>
      </c>
      <c r="F61" s="73">
        <v>4.44</v>
      </c>
      <c r="G61" s="81">
        <v>0.0900564</v>
      </c>
      <c r="H61" s="82">
        <f t="shared" si="0"/>
        <v>-0.16900000000000048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226.23074960000008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5988.075829464777</v>
      </c>
      <c r="D64" s="98"/>
      <c r="E64" s="99">
        <v>5592.11008</v>
      </c>
      <c r="F64" s="99">
        <v>5445.63958</v>
      </c>
      <c r="G64" s="99">
        <v>79.0695192</v>
      </c>
      <c r="H64" s="100">
        <f>E64-F64</f>
        <v>146.47050000000036</v>
      </c>
    </row>
    <row r="65" spans="1:8" ht="15">
      <c r="A65" s="101"/>
      <c r="B65" s="102" t="s">
        <v>113</v>
      </c>
      <c r="C65" s="103">
        <v>3582.5514230536883</v>
      </c>
      <c r="D65" s="103"/>
      <c r="E65" s="73">
        <v>3334.61296</v>
      </c>
      <c r="F65" s="73">
        <v>3321.992</v>
      </c>
      <c r="G65" s="81">
        <v>79.0695192</v>
      </c>
      <c r="H65" s="104">
        <f>E65-F65</f>
        <v>12.62095999999974</v>
      </c>
    </row>
    <row r="66" spans="1:8" ht="15">
      <c r="A66" s="101"/>
      <c r="B66" s="102" t="s">
        <v>114</v>
      </c>
      <c r="C66" s="103">
        <v>626.491324025917</v>
      </c>
      <c r="D66" s="103"/>
      <c r="E66" s="73">
        <v>587.93931</v>
      </c>
      <c r="F66" s="73">
        <v>580.629</v>
      </c>
      <c r="G66" s="81"/>
      <c r="H66" s="104">
        <f>E66-F66</f>
        <v>7.310309999999959</v>
      </c>
    </row>
    <row r="67" spans="1:8" ht="15">
      <c r="A67" s="101"/>
      <c r="B67" s="102" t="s">
        <v>115</v>
      </c>
      <c r="C67" s="103">
        <v>546.9651717582079</v>
      </c>
      <c r="D67" s="103"/>
      <c r="E67" s="73">
        <v>513.30691</v>
      </c>
      <c r="F67" s="73">
        <v>504.047</v>
      </c>
      <c r="G67" s="81"/>
      <c r="H67" s="104">
        <f>E67-F67</f>
        <v>9.25990999999999</v>
      </c>
    </row>
    <row r="68" spans="1:8" ht="15">
      <c r="A68" s="101"/>
      <c r="B68" s="102" t="s">
        <v>116</v>
      </c>
      <c r="C68" s="103">
        <v>734.7821078606106</v>
      </c>
      <c r="D68" s="103"/>
      <c r="E68" s="73">
        <v>689.56627</v>
      </c>
      <c r="F68" s="73">
        <v>677.381</v>
      </c>
      <c r="G68" s="81"/>
      <c r="H68" s="104">
        <f>E68-F68</f>
        <v>12.18527000000006</v>
      </c>
    </row>
    <row r="69" spans="1:8" ht="15.75" thickBot="1">
      <c r="A69" s="105"/>
      <c r="B69" s="106" t="s">
        <v>117</v>
      </c>
      <c r="C69" s="107">
        <v>497.2858027663522</v>
      </c>
      <c r="D69" s="107"/>
      <c r="E69" s="87">
        <v>466.68463</v>
      </c>
      <c r="F69" s="87">
        <v>361.59057999999993</v>
      </c>
      <c r="G69" s="88"/>
      <c r="H69" s="108">
        <f>92831.91+31997.97</f>
        <v>124829.88</v>
      </c>
    </row>
    <row r="70" spans="1:8" ht="19.5" thickBot="1" thickTop="1">
      <c r="A70" s="109" t="s">
        <v>118</v>
      </c>
      <c r="B70" s="110" t="s">
        <v>119</v>
      </c>
      <c r="C70" s="111">
        <v>10518.826827897825</v>
      </c>
      <c r="D70" s="111"/>
      <c r="E70" s="112">
        <v>9970.257080000001</v>
      </c>
      <c r="F70" s="112">
        <v>9882.989580000001</v>
      </c>
      <c r="G70" s="112">
        <v>180.5502168</v>
      </c>
      <c r="H70" s="113">
        <f>H25+H64</f>
        <v>87.26750000000084</v>
      </c>
    </row>
    <row r="71" spans="1:8" ht="19.5" thickBot="1" thickTop="1">
      <c r="A71" s="109" t="s">
        <v>120</v>
      </c>
      <c r="B71" s="110" t="s">
        <v>121</v>
      </c>
      <c r="C71" s="114">
        <v>3976.04894</v>
      </c>
      <c r="D71" s="114"/>
      <c r="E71" s="112">
        <v>287.99086</v>
      </c>
      <c r="F71" s="112">
        <v>291.92036</v>
      </c>
      <c r="G71" s="112">
        <v>3976.04894</v>
      </c>
      <c r="H71" s="113">
        <f>E71-F71</f>
        <v>-3.9295000000000186</v>
      </c>
    </row>
    <row r="72" spans="1:8" ht="15.75" thickTop="1">
      <c r="A72" s="115"/>
      <c r="B72" s="116" t="s">
        <v>122</v>
      </c>
      <c r="C72" s="103"/>
      <c r="D72" s="103"/>
      <c r="E72" s="81">
        <v>283.72126</v>
      </c>
      <c r="F72" s="81">
        <v>287.65076</v>
      </c>
      <c r="G72" s="117"/>
      <c r="H72" s="104">
        <f>E72-F72</f>
        <v>-3.9295000000000186</v>
      </c>
    </row>
    <row r="73" spans="1:8" ht="15">
      <c r="A73" s="115"/>
      <c r="B73" s="116" t="s">
        <v>123</v>
      </c>
      <c r="C73" s="118"/>
      <c r="D73" s="118"/>
      <c r="E73" s="81">
        <v>4.2696</v>
      </c>
      <c r="F73" s="81">
        <v>4.2696</v>
      </c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484.316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713.84279</v>
      </c>
      <c r="D75" s="114"/>
      <c r="E75" s="112">
        <v>713.84279</v>
      </c>
      <c r="F75" s="112">
        <v>683.85992</v>
      </c>
      <c r="G75" s="112"/>
      <c r="H75" s="113">
        <f>E75-F75</f>
        <v>29.982870000000048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3414.618000000001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1623.2470000000005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1712.1405000000004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79.23049999999998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8">
    <tabColor rgb="FFFFFF00"/>
  </sheetPr>
  <dimension ref="A1:H104"/>
  <sheetViews>
    <sheetView zoomScale="86" zoomScaleNormal="86" zoomScaleSheetLayoutView="70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7109375" style="2" customWidth="1"/>
    <col min="4" max="4" width="9.00390625" style="2" customWidth="1"/>
    <col min="5" max="5" width="20.28125" style="2" customWidth="1"/>
    <col min="6" max="6" width="23.8515625" style="2" customWidth="1"/>
    <col min="7" max="7" width="19.28125" style="2" customWidth="1"/>
    <col min="8" max="8" width="17.281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13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13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3796.4199999999996</v>
      </c>
      <c r="F19" s="39" t="s">
        <v>20</v>
      </c>
    </row>
    <row r="20" spans="1:6" s="8" customFormat="1" ht="18">
      <c r="A20" s="35"/>
      <c r="B20" s="8" t="s">
        <v>21</v>
      </c>
      <c r="E20" s="146">
        <v>1955.11</v>
      </c>
      <c r="F20" s="8" t="s">
        <v>20</v>
      </c>
    </row>
    <row r="21" spans="1:6" s="8" customFormat="1" ht="18">
      <c r="A21" s="41"/>
      <c r="B21" s="8" t="s">
        <v>22</v>
      </c>
      <c r="E21" s="146">
        <v>1755.38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85.93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0" customFormat="1" ht="21.75" customHeight="1">
      <c r="A25" s="55" t="s">
        <v>34</v>
      </c>
      <c r="B25" s="56" t="s">
        <v>35</v>
      </c>
      <c r="C25" s="57">
        <v>5249.467399047169</v>
      </c>
      <c r="D25" s="57">
        <v>0</v>
      </c>
      <c r="E25" s="58">
        <v>5903.164999999999</v>
      </c>
      <c r="F25" s="58">
        <v>6104.7300000000005</v>
      </c>
      <c r="G25" s="58">
        <v>104.9451072</v>
      </c>
      <c r="H25" s="59">
        <f>E25-F25</f>
        <v>-201.56500000000142</v>
      </c>
    </row>
    <row r="26" spans="1:8" s="30" customFormat="1" ht="18">
      <c r="A26" s="60" t="s">
        <v>36</v>
      </c>
      <c r="B26" s="61" t="s">
        <v>37</v>
      </c>
      <c r="C26" s="62">
        <v>634.51947</v>
      </c>
      <c r="D26" s="62"/>
      <c r="E26" s="63">
        <v>1711.44</v>
      </c>
      <c r="F26" s="63">
        <v>1769.76</v>
      </c>
      <c r="G26" s="63">
        <v>31.9039512</v>
      </c>
      <c r="H26" s="64">
        <f>E26-F26</f>
        <v>-58.319999999999936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4614.947929047169</v>
      </c>
      <c r="D50" s="62">
        <v>0</v>
      </c>
      <c r="E50" s="63">
        <v>4191.724999999999</v>
      </c>
      <c r="F50" s="63">
        <v>4334.97</v>
      </c>
      <c r="G50" s="63">
        <v>73.041156</v>
      </c>
      <c r="H50" s="64">
        <f aca="true" t="shared" si="0" ref="H50:H62">E50-F50</f>
        <v>-143.2450000000008</v>
      </c>
    </row>
    <row r="51" spans="1:8" ht="15">
      <c r="A51" s="77" t="s">
        <v>84</v>
      </c>
      <c r="B51" s="78" t="s">
        <v>85</v>
      </c>
      <c r="C51" s="79">
        <v>1273.3506440862445</v>
      </c>
      <c r="D51" s="80"/>
      <c r="E51" s="73">
        <v>653.108</v>
      </c>
      <c r="F51" s="73">
        <v>678.86</v>
      </c>
      <c r="G51" s="81">
        <v>11.681263200000002</v>
      </c>
      <c r="H51" s="82">
        <f t="shared" si="0"/>
        <v>-25.752000000000066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135.56596972068306</v>
      </c>
      <c r="D53" s="80"/>
      <c r="E53" s="73">
        <v>132.64</v>
      </c>
      <c r="F53" s="73">
        <v>137.97</v>
      </c>
      <c r="G53" s="81">
        <v>2.3814876000000003</v>
      </c>
      <c r="H53" s="82">
        <f t="shared" si="0"/>
        <v>-5.3300000000000125</v>
      </c>
    </row>
    <row r="54" spans="1:8" ht="15">
      <c r="A54" s="77" t="s">
        <v>90</v>
      </c>
      <c r="B54" s="78" t="s">
        <v>91</v>
      </c>
      <c r="C54" s="79">
        <v>570.8164142570126</v>
      </c>
      <c r="D54" s="80"/>
      <c r="E54" s="73">
        <v>546.419</v>
      </c>
      <c r="F54" s="73">
        <v>567.74</v>
      </c>
      <c r="G54" s="81">
        <v>9.525950400000001</v>
      </c>
      <c r="H54" s="82">
        <f t="shared" si="0"/>
        <v>-21.321000000000026</v>
      </c>
    </row>
    <row r="55" spans="1:8" ht="31.5" customHeight="1">
      <c r="A55" s="77" t="s">
        <v>92</v>
      </c>
      <c r="B55" s="78" t="s">
        <v>93</v>
      </c>
      <c r="C55" s="79">
        <v>1148.4027473189583</v>
      </c>
      <c r="D55" s="80"/>
      <c r="E55" s="73">
        <v>1438.857</v>
      </c>
      <c r="F55" s="73">
        <v>1487.72</v>
      </c>
      <c r="G55" s="81">
        <v>24.626444399999997</v>
      </c>
      <c r="H55" s="82">
        <f t="shared" si="0"/>
        <v>-48.863000000000056</v>
      </c>
    </row>
    <row r="56" spans="1:8" ht="15">
      <c r="A56" s="77" t="s">
        <v>94</v>
      </c>
      <c r="B56" s="78" t="s">
        <v>95</v>
      </c>
      <c r="C56" s="79">
        <v>868.539176440227</v>
      </c>
      <c r="D56" s="80"/>
      <c r="E56" s="73">
        <v>785.748</v>
      </c>
      <c r="F56" s="73">
        <v>816.2</v>
      </c>
      <c r="G56" s="81">
        <v>14.661448799999999</v>
      </c>
      <c r="H56" s="82">
        <f t="shared" si="0"/>
        <v>-30.451999999999998</v>
      </c>
    </row>
    <row r="57" spans="1:8" ht="15">
      <c r="A57" s="77" t="s">
        <v>96</v>
      </c>
      <c r="B57" s="78" t="s">
        <v>97</v>
      </c>
      <c r="C57" s="79">
        <v>22.082934164116118</v>
      </c>
      <c r="D57" s="80"/>
      <c r="E57" s="73">
        <v>31.718</v>
      </c>
      <c r="F57" s="73">
        <v>32.97</v>
      </c>
      <c r="G57" s="81">
        <v>0.5720892000000001</v>
      </c>
      <c r="H57" s="82">
        <f t="shared" si="0"/>
        <v>-1.251999999999999</v>
      </c>
    </row>
    <row r="58" spans="1:8" s="30" customFormat="1" ht="15.75">
      <c r="A58" s="77" t="s">
        <v>98</v>
      </c>
      <c r="B58" s="78" t="s">
        <v>99</v>
      </c>
      <c r="C58" s="79">
        <v>534.8673625995443</v>
      </c>
      <c r="D58" s="80"/>
      <c r="E58" s="73">
        <v>519.026</v>
      </c>
      <c r="F58" s="73">
        <v>526.23</v>
      </c>
      <c r="G58" s="81">
        <v>9.499341600000001</v>
      </c>
      <c r="H58" s="82">
        <f t="shared" si="0"/>
        <v>-7.204000000000065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5.357455075475875</v>
      </c>
      <c r="D61" s="80"/>
      <c r="E61" s="73">
        <v>5.766</v>
      </c>
      <c r="F61" s="73">
        <v>6.1</v>
      </c>
      <c r="G61" s="81">
        <v>0.09313080000000001</v>
      </c>
      <c r="H61" s="82">
        <f t="shared" si="0"/>
        <v>-0.33399999999999963</v>
      </c>
    </row>
    <row r="62" spans="1:8" s="30" customFormat="1" ht="16.5" thickBot="1">
      <c r="A62" s="83" t="s">
        <v>106</v>
      </c>
      <c r="B62" s="84" t="s">
        <v>107</v>
      </c>
      <c r="C62" s="85">
        <v>55.965225384907065</v>
      </c>
      <c r="D62" s="86"/>
      <c r="E62" s="87">
        <v>78.443</v>
      </c>
      <c r="F62" s="87">
        <v>81.18</v>
      </c>
      <c r="G62" s="88">
        <v>0</v>
      </c>
      <c r="H62" s="89">
        <f t="shared" si="0"/>
        <v>-2.737000000000009</v>
      </c>
    </row>
    <row r="63" spans="1:8" ht="46.5" hidden="1" thickBot="1" thickTop="1">
      <c r="A63" s="90" t="s">
        <v>108</v>
      </c>
      <c r="B63" s="91" t="s">
        <v>109</v>
      </c>
      <c r="C63" s="92">
        <v>1167.1444812</v>
      </c>
      <c r="D63" s="93"/>
      <c r="E63" s="94" t="s">
        <v>110</v>
      </c>
      <c r="F63" s="94"/>
      <c r="G63" s="94"/>
      <c r="H63" s="95"/>
    </row>
    <row r="64" spans="1:8" ht="18.75" thickTop="1">
      <c r="A64" s="96" t="s">
        <v>111</v>
      </c>
      <c r="B64" s="97" t="s">
        <v>112</v>
      </c>
      <c r="C64" s="98">
        <v>7975.822483264</v>
      </c>
      <c r="D64" s="98"/>
      <c r="E64" s="99">
        <v>7502.20237</v>
      </c>
      <c r="F64" s="99">
        <v>7479.57595</v>
      </c>
      <c r="G64" s="99">
        <v>81.7688424</v>
      </c>
      <c r="H64" s="100">
        <f>E64-F64</f>
        <v>22.626419999999598</v>
      </c>
    </row>
    <row r="65" spans="1:8" ht="15">
      <c r="A65" s="101"/>
      <c r="B65" s="102" t="s">
        <v>113</v>
      </c>
      <c r="C65" s="103">
        <v>4728.031066165033</v>
      </c>
      <c r="D65" s="103"/>
      <c r="E65" s="73">
        <v>4454.26831</v>
      </c>
      <c r="F65" s="73">
        <v>4479.775</v>
      </c>
      <c r="G65" s="81">
        <v>81.7688424</v>
      </c>
      <c r="H65" s="104">
        <f>E65-F65</f>
        <v>-25.506689999999253</v>
      </c>
    </row>
    <row r="66" spans="1:8" ht="15">
      <c r="A66" s="101"/>
      <c r="B66" s="102" t="s">
        <v>114</v>
      </c>
      <c r="C66" s="103">
        <v>828.6051277398338</v>
      </c>
      <c r="D66" s="103"/>
      <c r="E66" s="73">
        <v>777.61576</v>
      </c>
      <c r="F66" s="73">
        <v>793.94</v>
      </c>
      <c r="G66" s="81"/>
      <c r="H66" s="104">
        <f>E66-F66</f>
        <v>-16.32424000000003</v>
      </c>
    </row>
    <row r="67" spans="1:8" ht="15">
      <c r="A67" s="101"/>
      <c r="B67" s="102" t="s">
        <v>115</v>
      </c>
      <c r="C67" s="103">
        <v>729.0172812456219</v>
      </c>
      <c r="D67" s="103"/>
      <c r="E67" s="73">
        <v>684.15619</v>
      </c>
      <c r="F67" s="73">
        <v>699.734</v>
      </c>
      <c r="G67" s="81"/>
      <c r="H67" s="104">
        <f>E67-F67</f>
        <v>-15.57781</v>
      </c>
    </row>
    <row r="68" spans="1:8" ht="15">
      <c r="A68" s="101"/>
      <c r="B68" s="102" t="s">
        <v>116</v>
      </c>
      <c r="C68" s="103">
        <v>977.1032031209556</v>
      </c>
      <c r="D68" s="103"/>
      <c r="E68" s="73">
        <v>916.9758</v>
      </c>
      <c r="F68" s="73">
        <v>935.619</v>
      </c>
      <c r="G68" s="81"/>
      <c r="H68" s="104">
        <f>E68-F68</f>
        <v>-18.64319999999998</v>
      </c>
    </row>
    <row r="69" spans="1:8" ht="15.75" thickBot="1">
      <c r="A69" s="105"/>
      <c r="B69" s="106" t="s">
        <v>117</v>
      </c>
      <c r="C69" s="107">
        <v>713.0658049925557</v>
      </c>
      <c r="D69" s="107"/>
      <c r="E69" s="87">
        <v>669.18631</v>
      </c>
      <c r="F69" s="87">
        <v>570.50795</v>
      </c>
      <c r="G69" s="88"/>
      <c r="H69" s="108">
        <f>(69562.26+100205.3)/1000</f>
        <v>169.76756</v>
      </c>
    </row>
    <row r="70" spans="1:8" ht="19.5" thickBot="1" thickTop="1">
      <c r="A70" s="109" t="s">
        <v>118</v>
      </c>
      <c r="B70" s="110" t="s">
        <v>119</v>
      </c>
      <c r="C70" s="111">
        <v>13225.289882311168</v>
      </c>
      <c r="D70" s="111"/>
      <c r="E70" s="112">
        <v>13405.36737</v>
      </c>
      <c r="F70" s="112">
        <v>13584.305950000002</v>
      </c>
      <c r="G70" s="112">
        <v>186.71394959999998</v>
      </c>
      <c r="H70" s="113">
        <f>H25+H64</f>
        <v>-178.93858000000182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427.21355</v>
      </c>
      <c r="F71" s="112">
        <v>434.31750999999997</v>
      </c>
      <c r="G71" s="112">
        <v>0</v>
      </c>
      <c r="H71" s="113">
        <f>E71-F71</f>
        <v>-7.103959999999972</v>
      </c>
    </row>
    <row r="72" spans="1:8" ht="15.75" thickTop="1">
      <c r="A72" s="115"/>
      <c r="B72" s="116" t="s">
        <v>122</v>
      </c>
      <c r="C72" s="103"/>
      <c r="D72" s="103"/>
      <c r="E72" s="81">
        <v>362.93586</v>
      </c>
      <c r="F72" s="81">
        <v>373.94662999999997</v>
      </c>
      <c r="G72" s="117"/>
      <c r="H72" s="104">
        <f>E72-F72</f>
        <v>-11.01076999999998</v>
      </c>
    </row>
    <row r="73" spans="1:8" ht="15">
      <c r="A73" s="115"/>
      <c r="B73" s="116" t="s">
        <v>123</v>
      </c>
      <c r="C73" s="103"/>
      <c r="D73" s="103"/>
      <c r="E73" s="81">
        <v>64.27769</v>
      </c>
      <c r="F73" s="81">
        <v>60.37088</v>
      </c>
      <c r="G73" s="119"/>
      <c r="H73" s="104">
        <f>E73-F73</f>
        <v>3.906810000000007</v>
      </c>
    </row>
    <row r="74" spans="1:8" ht="29.25" thickBot="1">
      <c r="A74" s="120"/>
      <c r="B74" s="121" t="s">
        <v>124</v>
      </c>
      <c r="C74" s="122"/>
      <c r="D74" s="123"/>
      <c r="E74" s="124">
        <v>798.872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990.14987</v>
      </c>
      <c r="D75" s="114"/>
      <c r="E75" s="112">
        <v>990.14987</v>
      </c>
      <c r="F75" s="112">
        <v>979.58602</v>
      </c>
      <c r="G75" s="112"/>
      <c r="H75" s="113">
        <f>E75-F75</f>
        <v>10.563850000000002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3606.470649999998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1753.5449999999985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1778.0064199999997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74.91923000000003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9">
    <tabColor theme="6" tint="-0.24997000396251678"/>
  </sheetPr>
  <dimension ref="A1:H104"/>
  <sheetViews>
    <sheetView zoomScale="82" zoomScaleNormal="82"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57421875" style="2" customWidth="1"/>
    <col min="4" max="4" width="10.140625" style="2" customWidth="1"/>
    <col min="5" max="5" width="18.8515625" style="2" customWidth="1"/>
    <col min="6" max="6" width="23.8515625" style="2" customWidth="1"/>
    <col min="7" max="7" width="23.57421875" style="2" customWidth="1"/>
    <col min="8" max="8" width="17.00390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15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42.7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15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380.33</v>
      </c>
      <c r="F19" s="39" t="s">
        <v>20</v>
      </c>
    </row>
    <row r="20" spans="1:6" s="8" customFormat="1" ht="18">
      <c r="A20" s="35"/>
      <c r="B20" s="8" t="s">
        <v>21</v>
      </c>
      <c r="E20" s="146">
        <v>228.11</v>
      </c>
      <c r="F20" s="8" t="s">
        <v>20</v>
      </c>
    </row>
    <row r="21" spans="1:6" s="8" customFormat="1" ht="18">
      <c r="A21" s="41"/>
      <c r="B21" s="8" t="s">
        <v>22</v>
      </c>
      <c r="E21" s="146">
        <v>136.45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15.77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977.8971657063605</v>
      </c>
      <c r="D25" s="57">
        <v>0</v>
      </c>
      <c r="E25" s="58">
        <v>992.124</v>
      </c>
      <c r="F25" s="58">
        <v>954.6500000000001</v>
      </c>
      <c r="G25" s="58">
        <v>0</v>
      </c>
      <c r="H25" s="59">
        <f>E25-F25</f>
        <v>37.47399999999993</v>
      </c>
    </row>
    <row r="26" spans="1:8" s="30" customFormat="1" ht="18">
      <c r="A26" s="60" t="s">
        <v>36</v>
      </c>
      <c r="B26" s="61" t="s">
        <v>37</v>
      </c>
      <c r="C26" s="62">
        <v>203.08451</v>
      </c>
      <c r="D26" s="62"/>
      <c r="E26" s="63">
        <v>293.06</v>
      </c>
      <c r="F26" s="63">
        <v>281.91</v>
      </c>
      <c r="G26" s="63">
        <v>0</v>
      </c>
      <c r="H26" s="64">
        <f>E26-F26</f>
        <v>11.149999999999977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774.8126557063605</v>
      </c>
      <c r="D50" s="62">
        <v>0</v>
      </c>
      <c r="E50" s="63">
        <v>699.0640000000001</v>
      </c>
      <c r="F50" s="63">
        <v>672.74</v>
      </c>
      <c r="G50" s="63">
        <v>0</v>
      </c>
      <c r="H50" s="64">
        <f aca="true" t="shared" si="0" ref="H50:H62">E50-F50</f>
        <v>26.32400000000007</v>
      </c>
    </row>
    <row r="51" spans="1:8" ht="15">
      <c r="A51" s="77" t="s">
        <v>84</v>
      </c>
      <c r="B51" s="78" t="s">
        <v>85</v>
      </c>
      <c r="C51" s="79">
        <v>216.41041725455054</v>
      </c>
      <c r="D51" s="80"/>
      <c r="E51" s="73">
        <v>110.998</v>
      </c>
      <c r="F51" s="73">
        <v>106.82</v>
      </c>
      <c r="G51" s="81">
        <v>0</v>
      </c>
      <c r="H51" s="82">
        <f t="shared" si="0"/>
        <v>4.1780000000000115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23.039264848037078</v>
      </c>
      <c r="D53" s="80"/>
      <c r="E53" s="73">
        <v>22.542</v>
      </c>
      <c r="F53" s="73">
        <v>21.48</v>
      </c>
      <c r="G53" s="81">
        <v>0</v>
      </c>
      <c r="H53" s="82">
        <f t="shared" si="0"/>
        <v>1.0620000000000012</v>
      </c>
    </row>
    <row r="54" spans="1:8" ht="15">
      <c r="A54" s="77" t="s">
        <v>90</v>
      </c>
      <c r="B54" s="78" t="s">
        <v>91</v>
      </c>
      <c r="C54" s="79">
        <v>97.01243391315408</v>
      </c>
      <c r="D54" s="80"/>
      <c r="E54" s="73">
        <v>92.866</v>
      </c>
      <c r="F54" s="73">
        <v>88.69</v>
      </c>
      <c r="G54" s="81">
        <v>0</v>
      </c>
      <c r="H54" s="82">
        <f t="shared" si="0"/>
        <v>4.176000000000002</v>
      </c>
    </row>
    <row r="55" spans="1:8" ht="31.5" customHeight="1">
      <c r="A55" s="77" t="s">
        <v>92</v>
      </c>
      <c r="B55" s="78" t="s">
        <v>93</v>
      </c>
      <c r="C55" s="79">
        <v>195.1744412571113</v>
      </c>
      <c r="D55" s="80"/>
      <c r="E55" s="73">
        <v>244.538</v>
      </c>
      <c r="F55" s="73">
        <v>235.32</v>
      </c>
      <c r="G55" s="81">
        <v>0</v>
      </c>
      <c r="H55" s="82">
        <f t="shared" si="0"/>
        <v>9.218000000000018</v>
      </c>
    </row>
    <row r="56" spans="1:8" ht="15">
      <c r="A56" s="77" t="s">
        <v>94</v>
      </c>
      <c r="B56" s="78" t="s">
        <v>95</v>
      </c>
      <c r="C56" s="79">
        <v>147.61058459178756</v>
      </c>
      <c r="D56" s="80"/>
      <c r="E56" s="73">
        <v>133.54</v>
      </c>
      <c r="F56" s="73">
        <v>130.12</v>
      </c>
      <c r="G56" s="81">
        <v>0</v>
      </c>
      <c r="H56" s="82">
        <f t="shared" si="0"/>
        <v>3.4199999999999875</v>
      </c>
    </row>
    <row r="57" spans="1:8" ht="15">
      <c r="A57" s="77" t="s">
        <v>96</v>
      </c>
      <c r="B57" s="78" t="s">
        <v>97</v>
      </c>
      <c r="C57" s="79">
        <v>3.7526645798784877</v>
      </c>
      <c r="D57" s="80"/>
      <c r="E57" s="73">
        <v>5.39</v>
      </c>
      <c r="F57" s="73">
        <v>5.16</v>
      </c>
      <c r="G57" s="81">
        <v>0</v>
      </c>
      <c r="H57" s="82">
        <f t="shared" si="0"/>
        <v>0.22999999999999954</v>
      </c>
    </row>
    <row r="58" spans="1:8" s="30" customFormat="1" ht="15.75">
      <c r="A58" s="77" t="s">
        <v>98</v>
      </c>
      <c r="B58" s="78" t="s">
        <v>99</v>
      </c>
      <c r="C58" s="79">
        <v>90.90228631110158</v>
      </c>
      <c r="D58" s="80"/>
      <c r="E58" s="73">
        <v>88.21</v>
      </c>
      <c r="F58" s="73">
        <v>84.2</v>
      </c>
      <c r="G58" s="81">
        <v>0</v>
      </c>
      <c r="H58" s="82">
        <f t="shared" si="0"/>
        <v>4.009999999999991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0.9105629507399163</v>
      </c>
      <c r="D61" s="80"/>
      <c r="E61" s="73">
        <v>0.98</v>
      </c>
      <c r="F61" s="73">
        <v>0.95</v>
      </c>
      <c r="G61" s="81">
        <v>0</v>
      </c>
      <c r="H61" s="82">
        <f t="shared" si="0"/>
        <v>0.030000000000000027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78.82549000000003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1492.2390030869697</v>
      </c>
      <c r="D64" s="98"/>
      <c r="E64" s="99">
        <v>1428.9259549600001</v>
      </c>
      <c r="F64" s="99">
        <v>1290.2343600000002</v>
      </c>
      <c r="G64" s="99">
        <v>0</v>
      </c>
      <c r="H64" s="100">
        <f>E64-F64</f>
        <v>138.69159495999997</v>
      </c>
    </row>
    <row r="65" spans="1:8" ht="15">
      <c r="A65" s="101"/>
      <c r="B65" s="102" t="s">
        <v>113</v>
      </c>
      <c r="C65" s="103">
        <v>791.7574633825949</v>
      </c>
      <c r="D65" s="103"/>
      <c r="E65" s="73">
        <v>771.54952</v>
      </c>
      <c r="F65" s="73">
        <v>715.164</v>
      </c>
      <c r="G65" s="81">
        <v>0</v>
      </c>
      <c r="H65" s="104">
        <f>E65-F65</f>
        <v>56.38552000000004</v>
      </c>
    </row>
    <row r="66" spans="1:8" ht="15">
      <c r="A66" s="101"/>
      <c r="B66" s="102" t="s">
        <v>114</v>
      </c>
      <c r="C66" s="103">
        <v>170.97041182568591</v>
      </c>
      <c r="D66" s="103"/>
      <c r="E66" s="73">
        <v>160.44951</v>
      </c>
      <c r="F66" s="73">
        <v>153.97</v>
      </c>
      <c r="G66" s="81"/>
      <c r="H66" s="104">
        <f>E66-F66</f>
        <v>6.479510000000005</v>
      </c>
    </row>
    <row r="67" spans="1:8" ht="15">
      <c r="A67" s="101"/>
      <c r="B67" s="102" t="s">
        <v>115</v>
      </c>
      <c r="C67" s="103">
        <v>146.91627723453507</v>
      </c>
      <c r="D67" s="103"/>
      <c r="E67" s="73">
        <v>137.87558</v>
      </c>
      <c r="F67" s="73">
        <v>132.289</v>
      </c>
      <c r="G67" s="81"/>
      <c r="H67" s="104">
        <f>E67-F67</f>
        <v>5.586580000000026</v>
      </c>
    </row>
    <row r="68" spans="1:8" ht="15">
      <c r="A68" s="101"/>
      <c r="B68" s="102" t="s">
        <v>116</v>
      </c>
      <c r="C68" s="103">
        <v>198.38828898938021</v>
      </c>
      <c r="D68" s="103"/>
      <c r="E68" s="73">
        <v>186.18019</v>
      </c>
      <c r="F68" s="73">
        <v>178.823</v>
      </c>
      <c r="G68" s="81"/>
      <c r="H68" s="104">
        <f>E68-F68</f>
        <v>7.357190000000003</v>
      </c>
    </row>
    <row r="69" spans="1:8" ht="15.75" thickBot="1">
      <c r="A69" s="105"/>
      <c r="B69" s="106" t="s">
        <v>117</v>
      </c>
      <c r="C69" s="107">
        <v>184.2065616547733</v>
      </c>
      <c r="D69" s="107"/>
      <c r="E69" s="87">
        <v>172.87115496</v>
      </c>
      <c r="F69" s="87">
        <v>109.98835999999999</v>
      </c>
      <c r="G69" s="88"/>
      <c r="H69" s="108">
        <f>(22706.62+52583.025)/1000</f>
        <v>75.28964500000001</v>
      </c>
    </row>
    <row r="70" spans="1:8" ht="19.5" thickBot="1" thickTop="1">
      <c r="A70" s="109" t="s">
        <v>118</v>
      </c>
      <c r="B70" s="110" t="s">
        <v>119</v>
      </c>
      <c r="C70" s="111">
        <v>2470.1361687933304</v>
      </c>
      <c r="D70" s="111"/>
      <c r="E70" s="112">
        <v>2421.04995496</v>
      </c>
      <c r="F70" s="112">
        <v>2244.88436</v>
      </c>
      <c r="G70" s="112">
        <v>0</v>
      </c>
      <c r="H70" s="113">
        <f>H25+H64</f>
        <v>176.1655949599999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72.21198</v>
      </c>
      <c r="F71" s="112">
        <v>68.12382</v>
      </c>
      <c r="G71" s="112">
        <v>0</v>
      </c>
      <c r="H71" s="113">
        <f>E71-F71</f>
        <v>4.088160000000002</v>
      </c>
    </row>
    <row r="72" spans="1:8" ht="15.75" thickTop="1">
      <c r="A72" s="115"/>
      <c r="B72" s="116" t="s">
        <v>122</v>
      </c>
      <c r="C72" s="103"/>
      <c r="D72" s="103"/>
      <c r="E72" s="81">
        <v>72.21198</v>
      </c>
      <c r="F72" s="81">
        <v>68.12382</v>
      </c>
      <c r="G72" s="117"/>
      <c r="H72" s="104">
        <f>E72-F72</f>
        <v>4.088160000000002</v>
      </c>
    </row>
    <row r="73" spans="1:8" ht="15">
      <c r="A73" s="115"/>
      <c r="B73" s="116" t="s">
        <v>123</v>
      </c>
      <c r="C73" s="103"/>
      <c r="D73" s="103"/>
      <c r="E73" s="81"/>
      <c r="F73" s="81"/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132.647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f>E75</f>
        <v>250.88585</v>
      </c>
      <c r="D75" s="114"/>
      <c r="E75" s="112">
        <v>250.88585</v>
      </c>
      <c r="F75" s="112">
        <v>207.9583</v>
      </c>
      <c r="G75" s="112"/>
      <c r="H75" s="113">
        <f>E75-F75</f>
        <v>42.92755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560.5837549599999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265.58399999999995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275.14159495999996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19.85816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H104"/>
  <sheetViews>
    <sheetView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7109375" style="2" customWidth="1"/>
    <col min="4" max="4" width="7.7109375" style="2" customWidth="1"/>
    <col min="5" max="5" width="18.8515625" style="2" customWidth="1"/>
    <col min="6" max="6" width="23.8515625" style="2" customWidth="1"/>
    <col min="7" max="7" width="23.7109375" style="2" customWidth="1"/>
    <col min="8" max="8" width="19.281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Ленинский</v>
      </c>
      <c r="E2" s="5"/>
      <c r="F2" s="5" t="s">
        <v>3</v>
      </c>
      <c r="G2" s="7">
        <f>D17</f>
        <v>17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160</v>
      </c>
      <c r="B17" s="32" t="s">
        <v>161</v>
      </c>
      <c r="C17" s="31" t="s">
        <v>3</v>
      </c>
      <c r="D17" s="31">
        <v>17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2454.21</v>
      </c>
      <c r="F19" s="39" t="s">
        <v>20</v>
      </c>
    </row>
    <row r="20" spans="1:6" s="8" customFormat="1" ht="18">
      <c r="A20" s="35"/>
      <c r="B20" s="8" t="s">
        <v>21</v>
      </c>
      <c r="E20" s="146">
        <v>1334.78</v>
      </c>
      <c r="F20" s="8" t="s">
        <v>20</v>
      </c>
    </row>
    <row r="21" spans="1:6" s="8" customFormat="1" ht="18">
      <c r="A21" s="41"/>
      <c r="B21" s="8" t="s">
        <v>22</v>
      </c>
      <c r="E21" s="146">
        <v>1055.68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63.75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5426.37018207091</v>
      </c>
      <c r="D25" s="57">
        <v>0</v>
      </c>
      <c r="E25" s="58">
        <v>6204.794</v>
      </c>
      <c r="F25" s="58">
        <v>6101.98</v>
      </c>
      <c r="G25" s="58">
        <v>25.5003264</v>
      </c>
      <c r="H25" s="59">
        <f>E25-F25</f>
        <v>102.8140000000003</v>
      </c>
    </row>
    <row r="26" spans="1:8" s="30" customFormat="1" ht="18">
      <c r="A26" s="60" t="s">
        <v>36</v>
      </c>
      <c r="B26" s="61" t="s">
        <v>37</v>
      </c>
      <c r="C26" s="62">
        <v>580.62534</v>
      </c>
      <c r="D26" s="62"/>
      <c r="E26" s="63">
        <v>1832.785</v>
      </c>
      <c r="F26" s="63">
        <v>1801.92</v>
      </c>
      <c r="G26" s="63">
        <v>7.7522544</v>
      </c>
      <c r="H26" s="64">
        <f>E26-F26</f>
        <v>30.86500000000001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4845.744842070911</v>
      </c>
      <c r="D50" s="62">
        <v>0</v>
      </c>
      <c r="E50" s="63">
        <v>4372.009</v>
      </c>
      <c r="F50" s="63">
        <v>4300.0599999999995</v>
      </c>
      <c r="G50" s="63">
        <v>17.748072</v>
      </c>
      <c r="H50" s="64">
        <f aca="true" t="shared" si="0" ref="H50:H62">E50-F50</f>
        <v>71.94900000000052</v>
      </c>
    </row>
    <row r="51" spans="1:8" ht="15">
      <c r="A51" s="77" t="s">
        <v>84</v>
      </c>
      <c r="B51" s="78" t="s">
        <v>85</v>
      </c>
      <c r="C51" s="79">
        <v>1353.4453876963473</v>
      </c>
      <c r="D51" s="80"/>
      <c r="E51" s="73">
        <v>694.189</v>
      </c>
      <c r="F51" s="73">
        <v>682.81</v>
      </c>
      <c r="G51" s="81">
        <v>2.8383984000000004</v>
      </c>
      <c r="H51" s="82">
        <f t="shared" si="0"/>
        <v>11.379000000000019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144.09301198078305</v>
      </c>
      <c r="D53" s="80"/>
      <c r="E53" s="73">
        <v>140.983</v>
      </c>
      <c r="F53" s="73">
        <v>137.29</v>
      </c>
      <c r="G53" s="81">
        <v>0.5786712</v>
      </c>
      <c r="H53" s="82">
        <f t="shared" si="0"/>
        <v>3.693000000000012</v>
      </c>
    </row>
    <row r="54" spans="1:8" ht="15">
      <c r="A54" s="77" t="s">
        <v>90</v>
      </c>
      <c r="B54" s="78" t="s">
        <v>91</v>
      </c>
      <c r="C54" s="79">
        <v>606.7210225484768</v>
      </c>
      <c r="D54" s="80"/>
      <c r="E54" s="73">
        <v>580.789</v>
      </c>
      <c r="F54" s="73">
        <v>566.87</v>
      </c>
      <c r="G54" s="81">
        <v>2.3146848</v>
      </c>
      <c r="H54" s="82">
        <f t="shared" si="0"/>
        <v>13.918999999999983</v>
      </c>
    </row>
    <row r="55" spans="1:8" ht="31.5" customHeight="1">
      <c r="A55" s="77" t="s">
        <v>92</v>
      </c>
      <c r="B55" s="78" t="s">
        <v>93</v>
      </c>
      <c r="C55" s="79">
        <v>1220.6371960816602</v>
      </c>
      <c r="D55" s="80"/>
      <c r="E55" s="73">
        <v>1529.361</v>
      </c>
      <c r="F55" s="73">
        <v>1504.14</v>
      </c>
      <c r="G55" s="81">
        <v>5.9839128</v>
      </c>
      <c r="H55" s="82">
        <f t="shared" si="0"/>
        <v>25.221000000000004</v>
      </c>
    </row>
    <row r="56" spans="1:8" ht="15">
      <c r="A56" s="77" t="s">
        <v>94</v>
      </c>
      <c r="B56" s="78" t="s">
        <v>95</v>
      </c>
      <c r="C56" s="79">
        <v>923.1707889373403</v>
      </c>
      <c r="D56" s="80"/>
      <c r="E56" s="73">
        <v>835.172</v>
      </c>
      <c r="F56" s="73">
        <v>831.7</v>
      </c>
      <c r="G56" s="81">
        <v>3.5625456</v>
      </c>
      <c r="H56" s="82">
        <f t="shared" si="0"/>
        <v>3.47199999999998</v>
      </c>
    </row>
    <row r="57" spans="1:8" ht="15">
      <c r="A57" s="77" t="s">
        <v>96</v>
      </c>
      <c r="B57" s="78" t="s">
        <v>97</v>
      </c>
      <c r="C57" s="79">
        <v>23.47190741770751</v>
      </c>
      <c r="D57" s="80"/>
      <c r="E57" s="73">
        <v>33.713</v>
      </c>
      <c r="F57" s="73">
        <v>32.95</v>
      </c>
      <c r="G57" s="81">
        <v>0.1390104</v>
      </c>
      <c r="H57" s="82">
        <f t="shared" si="0"/>
        <v>0.7629999999999981</v>
      </c>
    </row>
    <row r="58" spans="1:8" s="30" customFormat="1" ht="15.75">
      <c r="A58" s="77" t="s">
        <v>98</v>
      </c>
      <c r="B58" s="78" t="s">
        <v>99</v>
      </c>
      <c r="C58" s="79">
        <v>568.510792382999</v>
      </c>
      <c r="D58" s="80"/>
      <c r="E58" s="73">
        <v>551.673</v>
      </c>
      <c r="F58" s="73">
        <v>538.2</v>
      </c>
      <c r="G58" s="81">
        <v>2.3082192000000004</v>
      </c>
      <c r="H58" s="82">
        <f t="shared" si="0"/>
        <v>13.472999999999956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5.694735025596884</v>
      </c>
      <c r="D61" s="80"/>
      <c r="E61" s="73">
        <v>6.129</v>
      </c>
      <c r="F61" s="73">
        <v>6.1</v>
      </c>
      <c r="G61" s="81">
        <v>0.022629600000000003</v>
      </c>
      <c r="H61" s="82">
        <f t="shared" si="0"/>
        <v>0.028999999999999915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1229.0469144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8393.58530600711</v>
      </c>
      <c r="D64" s="98"/>
      <c r="E64" s="99">
        <v>7968.10379</v>
      </c>
      <c r="F64" s="99">
        <v>7599.7061300000005</v>
      </c>
      <c r="G64" s="99">
        <v>19.8687888</v>
      </c>
      <c r="H64" s="100">
        <f>E64-F64</f>
        <v>368.39765999999963</v>
      </c>
    </row>
    <row r="65" spans="1:8" ht="15">
      <c r="A65" s="101"/>
      <c r="B65" s="102" t="s">
        <v>113</v>
      </c>
      <c r="C65" s="103">
        <v>4951.5061211922975</v>
      </c>
      <c r="D65" s="103"/>
      <c r="E65" s="73">
        <v>4737.83773</v>
      </c>
      <c r="F65" s="73">
        <v>4594.272</v>
      </c>
      <c r="G65" s="81">
        <v>19.8687888</v>
      </c>
      <c r="H65" s="104">
        <f>E65-F65</f>
        <v>143.56573000000026</v>
      </c>
    </row>
    <row r="66" spans="1:8" ht="15">
      <c r="A66" s="101"/>
      <c r="B66" s="102" t="s">
        <v>114</v>
      </c>
      <c r="C66" s="103">
        <v>882.9379217023958</v>
      </c>
      <c r="D66" s="103"/>
      <c r="E66" s="73">
        <v>828.60511</v>
      </c>
      <c r="F66" s="73">
        <v>799.218</v>
      </c>
      <c r="G66" s="81"/>
      <c r="H66" s="104">
        <f>E66-F66</f>
        <v>29.387110000000007</v>
      </c>
    </row>
    <row r="67" spans="1:8" ht="15">
      <c r="A67" s="101"/>
      <c r="B67" s="102" t="s">
        <v>115</v>
      </c>
      <c r="C67" s="103">
        <v>768.2454405278356</v>
      </c>
      <c r="D67" s="103"/>
      <c r="E67" s="73">
        <v>720.97039</v>
      </c>
      <c r="F67" s="73">
        <v>694.613</v>
      </c>
      <c r="G67" s="81"/>
      <c r="H67" s="104">
        <f>E67-F67</f>
        <v>26.357389999999896</v>
      </c>
    </row>
    <row r="68" spans="1:8" ht="15">
      <c r="A68" s="101"/>
      <c r="B68" s="102" t="s">
        <v>116</v>
      </c>
      <c r="C68" s="103">
        <v>1033.0730983866786</v>
      </c>
      <c r="D68" s="103"/>
      <c r="E68" s="73">
        <v>969.50151</v>
      </c>
      <c r="F68" s="73">
        <v>934.975</v>
      </c>
      <c r="G68" s="81"/>
      <c r="H68" s="104">
        <f>E68-F68</f>
        <v>34.52651000000003</v>
      </c>
    </row>
    <row r="69" spans="1:8" ht="15.75" thickBot="1">
      <c r="A69" s="105"/>
      <c r="B69" s="106" t="s">
        <v>117</v>
      </c>
      <c r="C69" s="107">
        <v>757.8227241979009</v>
      </c>
      <c r="D69" s="107"/>
      <c r="E69" s="87">
        <v>711.1890500000001</v>
      </c>
      <c r="F69" s="87">
        <v>576.62813</v>
      </c>
      <c r="G69" s="88"/>
      <c r="H69" s="108">
        <f>(90698.97+104683.748)/1000</f>
        <v>195.38271799999998</v>
      </c>
    </row>
    <row r="70" spans="1:8" ht="19.5" thickBot="1" thickTop="1">
      <c r="A70" s="109" t="s">
        <v>118</v>
      </c>
      <c r="B70" s="110" t="s">
        <v>119</v>
      </c>
      <c r="C70" s="111">
        <v>13819.95548807802</v>
      </c>
      <c r="D70" s="111"/>
      <c r="E70" s="112">
        <v>14172.897789999999</v>
      </c>
      <c r="F70" s="112">
        <v>13701.68613</v>
      </c>
      <c r="G70" s="112">
        <v>45.369115199999996</v>
      </c>
      <c r="H70" s="113">
        <f>H25+H64</f>
        <v>471.21165999999994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443.80944999999997</v>
      </c>
      <c r="F71" s="112">
        <v>434.30266</v>
      </c>
      <c r="G71" s="112">
        <v>0</v>
      </c>
      <c r="H71" s="113">
        <f>E71-F71</f>
        <v>9.506789999999967</v>
      </c>
    </row>
    <row r="72" spans="1:8" ht="15.75" thickTop="1">
      <c r="A72" s="115"/>
      <c r="B72" s="116" t="s">
        <v>122</v>
      </c>
      <c r="C72" s="103"/>
      <c r="D72" s="103"/>
      <c r="E72" s="81">
        <v>425.88701</v>
      </c>
      <c r="F72" s="81">
        <v>422.16586</v>
      </c>
      <c r="G72" s="117"/>
      <c r="H72" s="104">
        <f>E72-F72</f>
        <v>3.721149999999966</v>
      </c>
    </row>
    <row r="73" spans="1:8" ht="15">
      <c r="A73" s="115"/>
      <c r="B73" s="116" t="s">
        <v>123</v>
      </c>
      <c r="C73" s="103"/>
      <c r="D73" s="103"/>
      <c r="E73" s="81">
        <v>17.92244</v>
      </c>
      <c r="F73" s="81">
        <v>12.1368</v>
      </c>
      <c r="G73" s="119"/>
      <c r="H73" s="104">
        <f>E73-F73</f>
        <v>5.785640000000003</v>
      </c>
    </row>
    <row r="74" spans="1:8" ht="29.25" thickBot="1">
      <c r="A74" s="120"/>
      <c r="B74" s="121" t="s">
        <v>124</v>
      </c>
      <c r="C74" s="122"/>
      <c r="D74" s="123"/>
      <c r="E74" s="124">
        <v>809.983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948.07523</v>
      </c>
      <c r="D75" s="114"/>
      <c r="E75" s="112">
        <v>948.07523</v>
      </c>
      <c r="F75" s="112">
        <v>904.9614</v>
      </c>
      <c r="G75" s="112"/>
      <c r="H75" s="113">
        <f>E75-F75</f>
        <v>43.11383000000001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2929.14281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1437.5940000000003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1424.0776599999997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67.47114999999997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1">
    <tabColor theme="7" tint="0.39998000860214233"/>
  </sheetPr>
  <dimension ref="A1:I104"/>
  <sheetViews>
    <sheetView zoomScale="70" zoomScaleNormal="70" zoomScaleSheetLayoutView="85" zoomScalePageLayoutView="0" workbookViewId="0" topLeftCell="A1">
      <selection activeCell="F75" sqref="F75"/>
    </sheetView>
  </sheetViews>
  <sheetFormatPr defaultColWidth="9.140625" defaultRowHeight="15"/>
  <cols>
    <col min="1" max="1" width="8.57421875" style="187" customWidth="1"/>
    <col min="2" max="2" width="58.28125" style="140" customWidth="1"/>
    <col min="3" max="3" width="14.7109375" style="140" customWidth="1"/>
    <col min="4" max="4" width="9.140625" style="140" customWidth="1"/>
    <col min="5" max="5" width="18.00390625" style="140" customWidth="1"/>
    <col min="6" max="6" width="24.7109375" style="140" customWidth="1"/>
    <col min="7" max="7" width="20.7109375" style="140" customWidth="1"/>
    <col min="8" max="8" width="15.00390625" style="140" hidden="1" customWidth="1"/>
    <col min="9" max="9" width="10.00390625" style="140" customWidth="1"/>
    <col min="10" max="16384" width="9.140625" style="140" customWidth="1"/>
  </cols>
  <sheetData>
    <row r="1" spans="1:8" ht="18.75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s="141" customFormat="1" ht="15.75">
      <c r="A2" s="354"/>
      <c r="B2" s="355" t="s">
        <v>1</v>
      </c>
      <c r="C2" s="356" t="s">
        <v>2</v>
      </c>
      <c r="D2" s="356" t="str">
        <f>B17</f>
        <v>Ленинский</v>
      </c>
      <c r="E2" s="356"/>
      <c r="F2" s="356" t="s">
        <v>3</v>
      </c>
      <c r="G2" s="357">
        <f>D17</f>
        <v>46</v>
      </c>
      <c r="H2" s="356"/>
    </row>
    <row r="3" spans="1:8" ht="35.25" customHeight="1">
      <c r="A3" s="358" t="s">
        <v>135</v>
      </c>
      <c r="B3" s="358"/>
      <c r="C3" s="358"/>
      <c r="D3" s="358"/>
      <c r="E3" s="358"/>
      <c r="F3" s="358"/>
      <c r="G3" s="358"/>
      <c r="H3" s="358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8" customHeight="1">
      <c r="A13" s="26"/>
      <c r="B13" s="26"/>
      <c r="C13" s="26"/>
      <c r="D13" s="26"/>
      <c r="E13" s="26"/>
      <c r="F13" s="26"/>
      <c r="G13" s="26"/>
      <c r="H13" s="26"/>
    </row>
    <row r="14" spans="1:8" ht="9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160</v>
      </c>
      <c r="B17" s="32" t="s">
        <v>161</v>
      </c>
      <c r="C17" s="31" t="s">
        <v>3</v>
      </c>
      <c r="D17" s="31">
        <v>46</v>
      </c>
      <c r="E17" s="31" t="s">
        <v>18</v>
      </c>
      <c r="F17" s="31"/>
      <c r="G17" s="31"/>
      <c r="H17" s="33"/>
    </row>
    <row r="18" spans="1:8" s="141" customFormat="1" ht="3.7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145.17999999999998</v>
      </c>
      <c r="F19" s="39" t="s">
        <v>20</v>
      </c>
      <c r="G19" s="8"/>
      <c r="H19" s="8"/>
    </row>
    <row r="20" spans="1:8" s="141" customFormat="1" ht="15.75">
      <c r="A20" s="35"/>
      <c r="B20" s="8" t="s">
        <v>21</v>
      </c>
      <c r="C20" s="8"/>
      <c r="D20" s="8"/>
      <c r="E20" s="204">
        <v>98.49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46.46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0.23</v>
      </c>
      <c r="F22" s="8" t="s">
        <v>20</v>
      </c>
      <c r="G22" s="30"/>
      <c r="H22" s="30"/>
    </row>
    <row r="23" spans="1:8" s="149" customFormat="1" ht="87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9" s="143" customFormat="1" ht="30.7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159</v>
      </c>
      <c r="H24" s="52" t="s">
        <v>30</v>
      </c>
      <c r="I24" s="149"/>
    </row>
    <row r="25" spans="1:9" s="209" customFormat="1" ht="21.75" customHeight="1">
      <c r="A25" s="55" t="s">
        <v>34</v>
      </c>
      <c r="B25" s="56" t="s">
        <v>35</v>
      </c>
      <c r="C25" s="57">
        <v>2436.0985680354474</v>
      </c>
      <c r="D25" s="57">
        <v>0</v>
      </c>
      <c r="E25" s="58">
        <v>1011.975</v>
      </c>
      <c r="F25" s="58">
        <v>1050.98</v>
      </c>
      <c r="G25" s="352">
        <v>1171.434760888152</v>
      </c>
      <c r="H25" s="59">
        <f>E25-F25</f>
        <v>-39.004999999999995</v>
      </c>
      <c r="I25" s="149"/>
    </row>
    <row r="26" spans="1:9" s="143" customFormat="1" ht="18">
      <c r="A26" s="60" t="s">
        <v>36</v>
      </c>
      <c r="B26" s="61" t="s">
        <v>37</v>
      </c>
      <c r="C26" s="62">
        <v>34.96</v>
      </c>
      <c r="D26" s="62"/>
      <c r="E26" s="63">
        <v>220.058</v>
      </c>
      <c r="F26" s="63">
        <v>228.58</v>
      </c>
      <c r="G26" s="313">
        <v>228.12099999999998</v>
      </c>
      <c r="H26" s="64">
        <f>E26-F26</f>
        <v>-8.52200000000002</v>
      </c>
      <c r="I26" s="149"/>
    </row>
    <row r="27" spans="1:9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  <c r="I27" s="149"/>
    </row>
    <row r="28" spans="1:9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  <c r="I28" s="149"/>
    </row>
    <row r="29" spans="1:9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  <c r="I29" s="149"/>
    </row>
    <row r="30" spans="1:9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  <c r="I30" s="149"/>
    </row>
    <row r="31" spans="1:9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  <c r="I31" s="149"/>
    </row>
    <row r="32" spans="1:9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  <c r="I32" s="149"/>
    </row>
    <row r="33" spans="1:9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  <c r="I33" s="149"/>
    </row>
    <row r="34" spans="1:9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  <c r="I34" s="149"/>
    </row>
    <row r="35" spans="1:9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  <c r="I35" s="149"/>
    </row>
    <row r="36" spans="1:9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  <c r="I36" s="149"/>
    </row>
    <row r="37" spans="1:9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  <c r="I37" s="149"/>
    </row>
    <row r="38" spans="1:9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  <c r="I38" s="149"/>
    </row>
    <row r="39" spans="1:9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  <c r="I39" s="149"/>
    </row>
    <row r="40" spans="1:9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  <c r="I40" s="149"/>
    </row>
    <row r="41" spans="1:9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  <c r="I41" s="149"/>
    </row>
    <row r="42" spans="1:9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  <c r="I42" s="149"/>
    </row>
    <row r="43" spans="1:9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  <c r="I43" s="149"/>
    </row>
    <row r="44" spans="1:9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  <c r="I44" s="149"/>
    </row>
    <row r="45" spans="1:9" s="158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  <c r="I45" s="149"/>
    </row>
    <row r="46" spans="1:9" s="159" customFormat="1" ht="16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  <c r="I46" s="149"/>
    </row>
    <row r="47" spans="1:9" s="160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  <c r="I47" s="149"/>
    </row>
    <row r="48" spans="1:9" ht="28.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  <c r="I48" s="149"/>
    </row>
    <row r="49" spans="1:9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  <c r="I49" s="149"/>
    </row>
    <row r="50" spans="1:9" ht="18">
      <c r="A50" s="75" t="s">
        <v>82</v>
      </c>
      <c r="B50" s="76" t="s">
        <v>83</v>
      </c>
      <c r="C50" s="62">
        <v>2401.1385680354474</v>
      </c>
      <c r="D50" s="62">
        <v>0</v>
      </c>
      <c r="E50" s="63">
        <v>791.917</v>
      </c>
      <c r="F50" s="63">
        <v>822.4</v>
      </c>
      <c r="G50" s="63">
        <v>943.3140000000001</v>
      </c>
      <c r="H50" s="64">
        <f aca="true" t="shared" si="0" ref="H50:H62">E50-F50</f>
        <v>-30.482999999999947</v>
      </c>
      <c r="I50" s="149"/>
    </row>
    <row r="51" spans="1:9" ht="15">
      <c r="A51" s="77" t="s">
        <v>84</v>
      </c>
      <c r="B51" s="78" t="s">
        <v>85</v>
      </c>
      <c r="C51" s="79">
        <v>246.3082097570757</v>
      </c>
      <c r="D51" s="80"/>
      <c r="E51" s="73">
        <v>54.621</v>
      </c>
      <c r="F51" s="73">
        <v>56.75</v>
      </c>
      <c r="G51" s="81">
        <v>63.587</v>
      </c>
      <c r="H51" s="82">
        <f t="shared" si="0"/>
        <v>-2.128999999999998</v>
      </c>
      <c r="I51" s="149"/>
    </row>
    <row r="52" spans="1:9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  <c r="I52" s="149"/>
    </row>
    <row r="53" spans="1:9" ht="15">
      <c r="A53" s="77" t="s">
        <v>88</v>
      </c>
      <c r="B53" s="78" t="s">
        <v>89</v>
      </c>
      <c r="C53" s="79">
        <v>25.26122052811057</v>
      </c>
      <c r="D53" s="80"/>
      <c r="E53" s="73">
        <v>10.89</v>
      </c>
      <c r="F53" s="73">
        <v>11.35</v>
      </c>
      <c r="G53" s="81">
        <v>13.162</v>
      </c>
      <c r="H53" s="82">
        <f t="shared" si="0"/>
        <v>-0.4599999999999991</v>
      </c>
      <c r="I53" s="149"/>
    </row>
    <row r="54" spans="1:9" ht="15">
      <c r="A54" s="77" t="s">
        <v>90</v>
      </c>
      <c r="B54" s="78" t="s">
        <v>91</v>
      </c>
      <c r="C54" s="79">
        <v>79.1140822873628</v>
      </c>
      <c r="D54" s="80"/>
      <c r="E54" s="73">
        <v>32.245</v>
      </c>
      <c r="F54" s="73">
        <v>33.53</v>
      </c>
      <c r="G54" s="81">
        <v>37.325</v>
      </c>
      <c r="H54" s="82">
        <f t="shared" si="0"/>
        <v>-1.2850000000000037</v>
      </c>
      <c r="I54" s="149"/>
    </row>
    <row r="55" spans="1:9" ht="28.5">
      <c r="A55" s="77" t="s">
        <v>92</v>
      </c>
      <c r="B55" s="78" t="s">
        <v>93</v>
      </c>
      <c r="C55" s="79">
        <v>737.4925546399528</v>
      </c>
      <c r="D55" s="80"/>
      <c r="E55" s="73">
        <v>228.608</v>
      </c>
      <c r="F55" s="73">
        <v>237.42</v>
      </c>
      <c r="G55" s="81">
        <v>269.06100000000004</v>
      </c>
      <c r="H55" s="82">
        <f t="shared" si="0"/>
        <v>-8.811999999999983</v>
      </c>
      <c r="I55" s="149"/>
    </row>
    <row r="56" spans="1:9" ht="15">
      <c r="A56" s="77" t="s">
        <v>94</v>
      </c>
      <c r="B56" s="78" t="s">
        <v>95</v>
      </c>
      <c r="C56" s="79">
        <v>58.75609472897783</v>
      </c>
      <c r="D56" s="80"/>
      <c r="E56" s="73">
        <v>20.674</v>
      </c>
      <c r="F56" s="73">
        <v>21.44</v>
      </c>
      <c r="G56" s="81">
        <v>32.607</v>
      </c>
      <c r="H56" s="82">
        <f t="shared" si="0"/>
        <v>-0.7660000000000018</v>
      </c>
      <c r="I56" s="149"/>
    </row>
    <row r="57" spans="1:9" ht="15">
      <c r="A57" s="77" t="s">
        <v>96</v>
      </c>
      <c r="B57" s="78" t="s">
        <v>97</v>
      </c>
      <c r="C57" s="79">
        <v>37.94350134700499</v>
      </c>
      <c r="D57" s="80"/>
      <c r="E57" s="73">
        <v>25.013</v>
      </c>
      <c r="F57" s="73">
        <v>25.96</v>
      </c>
      <c r="G57" s="81">
        <v>31.023000000000003</v>
      </c>
      <c r="H57" s="82">
        <f t="shared" si="0"/>
        <v>-0.9469999999999992</v>
      </c>
      <c r="I57" s="149"/>
    </row>
    <row r="58" spans="1:9" ht="15">
      <c r="A58" s="77" t="s">
        <v>98</v>
      </c>
      <c r="B58" s="78" t="s">
        <v>99</v>
      </c>
      <c r="C58" s="79">
        <v>59.018473562181676</v>
      </c>
      <c r="D58" s="80"/>
      <c r="E58" s="73">
        <v>22.886</v>
      </c>
      <c r="F58" s="73">
        <v>23.75</v>
      </c>
      <c r="G58" s="81">
        <v>23.959</v>
      </c>
      <c r="H58" s="82">
        <f t="shared" si="0"/>
        <v>-0.8640000000000008</v>
      </c>
      <c r="I58" s="149"/>
    </row>
    <row r="59" spans="1:9" ht="15">
      <c r="A59" s="77" t="s">
        <v>100</v>
      </c>
      <c r="B59" s="78" t="s">
        <v>101</v>
      </c>
      <c r="C59" s="79">
        <v>1156.602480618684</v>
      </c>
      <c r="D59" s="80"/>
      <c r="E59" s="73">
        <v>396.64</v>
      </c>
      <c r="F59" s="73">
        <v>411.88</v>
      </c>
      <c r="G59" s="81">
        <v>472.206</v>
      </c>
      <c r="H59" s="82">
        <f t="shared" si="0"/>
        <v>-15.240000000000009</v>
      </c>
      <c r="I59" s="149"/>
    </row>
    <row r="60" spans="1:9" ht="15" hidden="1">
      <c r="A60" s="77" t="s">
        <v>102</v>
      </c>
      <c r="B60" s="78" t="s">
        <v>103</v>
      </c>
      <c r="C60" s="79"/>
      <c r="D60" s="79"/>
      <c r="E60" s="73"/>
      <c r="F60" s="73"/>
      <c r="G60" s="81">
        <v>0</v>
      </c>
      <c r="H60" s="82">
        <f t="shared" si="0"/>
        <v>0</v>
      </c>
      <c r="I60" s="149"/>
    </row>
    <row r="61" spans="1:9" ht="28.5">
      <c r="A61" s="77" t="s">
        <v>104</v>
      </c>
      <c r="B61" s="78" t="s">
        <v>105</v>
      </c>
      <c r="C61" s="79">
        <v>0.6419505660969909</v>
      </c>
      <c r="D61" s="80"/>
      <c r="E61" s="73">
        <v>0.34</v>
      </c>
      <c r="F61" s="73">
        <v>0.32</v>
      </c>
      <c r="G61" s="81">
        <v>0.38399999999999995</v>
      </c>
      <c r="H61" s="82">
        <f t="shared" si="0"/>
        <v>0.020000000000000018</v>
      </c>
      <c r="I61" s="149"/>
    </row>
    <row r="62" spans="1:9" ht="15.75" thickBot="1">
      <c r="A62" s="83" t="s">
        <v>106</v>
      </c>
      <c r="B62" s="84" t="s">
        <v>107</v>
      </c>
      <c r="C62" s="79"/>
      <c r="D62" s="80"/>
      <c r="E62" s="87"/>
      <c r="F62" s="87"/>
      <c r="G62" s="81">
        <v>0</v>
      </c>
      <c r="H62" s="89">
        <f t="shared" si="0"/>
        <v>0</v>
      </c>
      <c r="I62" s="149"/>
    </row>
    <row r="63" spans="1:9" ht="31.5" hidden="1" thickBot="1" thickTop="1">
      <c r="A63" s="359" t="s">
        <v>108</v>
      </c>
      <c r="B63" s="360" t="s">
        <v>155</v>
      </c>
      <c r="C63" s="361">
        <v>421.74100000000004</v>
      </c>
      <c r="D63" s="361"/>
      <c r="E63" s="362" t="s">
        <v>110</v>
      </c>
      <c r="F63" s="362"/>
      <c r="G63" s="363"/>
      <c r="H63" s="364"/>
      <c r="I63" s="149"/>
    </row>
    <row r="64" spans="1:9" s="141" customFormat="1" ht="19.5" thickBot="1" thickTop="1">
      <c r="A64" s="165" t="s">
        <v>111</v>
      </c>
      <c r="B64" s="234" t="s">
        <v>112</v>
      </c>
      <c r="C64" s="114">
        <v>1304.3601420299292</v>
      </c>
      <c r="D64" s="114"/>
      <c r="E64" s="112">
        <v>819.7771700000001</v>
      </c>
      <c r="F64" s="112">
        <v>852.4359199999999</v>
      </c>
      <c r="G64" s="112">
        <v>29.3569836</v>
      </c>
      <c r="H64" s="113">
        <f>E64-F64</f>
        <v>-32.65874999999983</v>
      </c>
      <c r="I64" s="149"/>
    </row>
    <row r="65" spans="1:8" ht="15.75" thickTop="1">
      <c r="A65" s="176"/>
      <c r="B65" s="170" t="s">
        <v>113</v>
      </c>
      <c r="C65" s="365">
        <v>999.1201339465291</v>
      </c>
      <c r="D65" s="366"/>
      <c r="E65" s="163">
        <v>540.52306</v>
      </c>
      <c r="F65" s="163">
        <v>551.105</v>
      </c>
      <c r="G65" s="163">
        <v>29.3569836</v>
      </c>
      <c r="H65" s="173">
        <f>E65-F65</f>
        <v>-10.581940000000031</v>
      </c>
    </row>
    <row r="66" spans="1:8" ht="15">
      <c r="A66" s="115"/>
      <c r="B66" s="116" t="s">
        <v>114</v>
      </c>
      <c r="C66" s="103">
        <v>84.1004619788</v>
      </c>
      <c r="D66" s="103"/>
      <c r="E66" s="81">
        <v>85.23062</v>
      </c>
      <c r="F66" s="81">
        <v>91.063</v>
      </c>
      <c r="G66" s="81"/>
      <c r="H66" s="104">
        <f>E66-F66</f>
        <v>-5.832380000000001</v>
      </c>
    </row>
    <row r="67" spans="1:8" ht="15">
      <c r="A67" s="115"/>
      <c r="B67" s="116" t="s">
        <v>115</v>
      </c>
      <c r="C67" s="103">
        <v>23.3006776068</v>
      </c>
      <c r="D67" s="103"/>
      <c r="E67" s="81">
        <v>23.62481</v>
      </c>
      <c r="F67" s="81">
        <v>31.29</v>
      </c>
      <c r="G67" s="81"/>
      <c r="H67" s="104">
        <f>E67-F67</f>
        <v>-7.665189999999999</v>
      </c>
    </row>
    <row r="68" spans="1:8" ht="15">
      <c r="A68" s="115"/>
      <c r="B68" s="116" t="s">
        <v>116</v>
      </c>
      <c r="C68" s="103">
        <v>52.2604263303</v>
      </c>
      <c r="D68" s="103"/>
      <c r="E68" s="81">
        <v>52.44977</v>
      </c>
      <c r="F68" s="81">
        <v>60.938</v>
      </c>
      <c r="G68" s="81"/>
      <c r="H68" s="104">
        <f>E68-F68</f>
        <v>-8.488230000000001</v>
      </c>
    </row>
    <row r="69" spans="1:8" ht="15.75" thickBot="1">
      <c r="A69" s="318"/>
      <c r="B69" s="174" t="s">
        <v>117</v>
      </c>
      <c r="C69" s="107">
        <v>145.57844216750001</v>
      </c>
      <c r="D69" s="107"/>
      <c r="E69" s="88">
        <v>117.94891000000001</v>
      </c>
      <c r="F69" s="88">
        <v>118.03992</v>
      </c>
      <c r="G69" s="88"/>
      <c r="H69" s="108">
        <f>-2.58558-0.88336</f>
        <v>-3.4689400000000004</v>
      </c>
    </row>
    <row r="70" spans="1:8" ht="19.5" thickBot="1" thickTop="1">
      <c r="A70" s="165" t="s">
        <v>118</v>
      </c>
      <c r="B70" s="234" t="s">
        <v>119</v>
      </c>
      <c r="C70" s="114">
        <v>3740.4587100653766</v>
      </c>
      <c r="D70" s="114"/>
      <c r="E70" s="112">
        <v>1831.7521700000002</v>
      </c>
      <c r="F70" s="112">
        <v>1903.41592</v>
      </c>
      <c r="G70" s="112">
        <v>1200.7917444881518</v>
      </c>
      <c r="H70" s="113">
        <f>H25+H64</f>
        <v>-71.66374999999982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5.51237</v>
      </c>
      <c r="F71" s="112">
        <v>5.50178</v>
      </c>
      <c r="G71" s="112">
        <v>0</v>
      </c>
      <c r="H71" s="113">
        <f>E71-F71</f>
        <v>0.010589999999999655</v>
      </c>
    </row>
    <row r="72" spans="1:8" ht="15.75" thickTop="1">
      <c r="A72" s="115"/>
      <c r="B72" s="116" t="s">
        <v>122</v>
      </c>
      <c r="C72" s="118"/>
      <c r="D72" s="118"/>
      <c r="E72" s="119">
        <v>5.51237</v>
      </c>
      <c r="F72" s="119">
        <v>5.50178</v>
      </c>
      <c r="G72" s="119"/>
      <c r="H72" s="104">
        <f>E72-F72</f>
        <v>0.010589999999999655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18.492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367">
        <v>65.49651</v>
      </c>
      <c r="D75" s="367"/>
      <c r="E75" s="368">
        <v>65.49651</v>
      </c>
      <c r="F75" s="368">
        <v>59.89121</v>
      </c>
      <c r="G75" s="368"/>
      <c r="H75" s="369">
        <f>E75-F75</f>
        <v>5.6053</v>
      </c>
    </row>
    <row r="76" spans="1:8" ht="16.5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73.52684000000016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59.485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13.801250000000174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0.24058999999999967</v>
      </c>
      <c r="H79" s="326"/>
    </row>
    <row r="80" ht="8.25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theme="7" tint="0.39998000860214233"/>
  </sheetPr>
  <dimension ref="A1:H104"/>
  <sheetViews>
    <sheetView zoomScaleSheetLayoutView="100" zoomScalePageLayoutView="0" workbookViewId="0" topLeftCell="A1">
      <selection activeCell="E55" sqref="E55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5.00390625" style="140" customWidth="1"/>
    <col min="4" max="4" width="9.00390625" style="140" customWidth="1"/>
    <col min="5" max="5" width="18.140625" style="140" customWidth="1"/>
    <col min="6" max="6" width="25.28125" style="140" customWidth="1"/>
    <col min="7" max="7" width="23.00390625" style="140" customWidth="1"/>
    <col min="8" max="8" width="24.0039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142</v>
      </c>
      <c r="E2" s="5"/>
      <c r="F2" s="5" t="s">
        <v>3</v>
      </c>
      <c r="G2" s="7" t="str">
        <f>D17</f>
        <v>39 "А"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143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4" customHeight="1">
      <c r="A13" s="26"/>
      <c r="B13" s="26"/>
      <c r="C13" s="26"/>
      <c r="D13" s="26"/>
      <c r="E13" s="26"/>
      <c r="F13" s="26"/>
      <c r="G13" s="26"/>
      <c r="H13" s="26"/>
    </row>
    <row r="14" spans="1:8" ht="11.2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</v>
      </c>
      <c r="B17" s="197" t="s">
        <v>142</v>
      </c>
      <c r="C17" s="196" t="s">
        <v>3</v>
      </c>
      <c r="D17" s="196" t="s">
        <v>144</v>
      </c>
      <c r="E17" s="196" t="s">
        <v>18</v>
      </c>
      <c r="F17" s="196"/>
      <c r="G17" s="196"/>
      <c r="H17" s="198"/>
    </row>
    <row r="18" spans="1:8" s="141" customFormat="1" ht="4.5" customHeight="1">
      <c r="A18" s="199"/>
      <c r="B18" s="200"/>
      <c r="C18" s="201"/>
      <c r="D18" s="201"/>
      <c r="E18" s="201"/>
      <c r="F18" s="201"/>
      <c r="G18" s="201"/>
      <c r="H18" s="201"/>
    </row>
    <row r="19" spans="1:8" s="141" customFormat="1" ht="18">
      <c r="A19" s="199"/>
      <c r="B19" s="197" t="s">
        <v>145</v>
      </c>
      <c r="C19" s="201"/>
      <c r="D19" s="201"/>
      <c r="E19" s="202">
        <f>E20+E21+E22</f>
        <v>6688.74</v>
      </c>
      <c r="F19" s="203" t="s">
        <v>20</v>
      </c>
      <c r="G19" s="201"/>
      <c r="H19" s="201"/>
    </row>
    <row r="20" spans="1:8" s="141" customFormat="1" ht="15.75">
      <c r="A20" s="35"/>
      <c r="B20" s="8" t="s">
        <v>21</v>
      </c>
      <c r="C20" s="8"/>
      <c r="D20" s="8"/>
      <c r="E20" s="204">
        <v>2855.56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3817.67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15.51</v>
      </c>
      <c r="F22" s="8" t="s">
        <v>20</v>
      </c>
      <c r="G22" s="30"/>
      <c r="H22" s="30"/>
    </row>
    <row r="23" spans="1:8" s="149" customFormat="1" ht="72.75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3841.989455251206</v>
      </c>
      <c r="D25" s="208"/>
      <c r="E25" s="58">
        <v>4474.315</v>
      </c>
      <c r="F25" s="58">
        <v>4195.84</v>
      </c>
      <c r="G25" s="157">
        <v>360.27769680000006</v>
      </c>
      <c r="H25" s="59">
        <f>E25-F25</f>
        <v>278.47499999999945</v>
      </c>
    </row>
    <row r="26" spans="1:8" s="143" customFormat="1" ht="18">
      <c r="A26" s="60" t="s">
        <v>36</v>
      </c>
      <c r="B26" s="61" t="s">
        <v>37</v>
      </c>
      <c r="C26" s="210">
        <v>276.42903</v>
      </c>
      <c r="D26" s="211"/>
      <c r="E26" s="63">
        <v>914.619</v>
      </c>
      <c r="F26" s="63">
        <v>857.63</v>
      </c>
      <c r="G26" s="63">
        <v>67.69549080000002</v>
      </c>
      <c r="H26" s="64">
        <f>E26-F26</f>
        <v>56.98900000000003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3565.5604252512057</v>
      </c>
      <c r="D50" s="211"/>
      <c r="E50" s="63">
        <v>3559.696</v>
      </c>
      <c r="F50" s="63">
        <v>3338.21</v>
      </c>
      <c r="G50" s="63">
        <v>292.58220600000004</v>
      </c>
      <c r="H50" s="64">
        <f aca="true" t="shared" si="0" ref="H50:H61">E50-F50</f>
        <v>221.48599999999988</v>
      </c>
    </row>
    <row r="51" spans="1:8" ht="15">
      <c r="A51" s="77" t="s">
        <v>84</v>
      </c>
      <c r="B51" s="78" t="s">
        <v>85</v>
      </c>
      <c r="C51" s="212">
        <v>469.41435080174284</v>
      </c>
      <c r="D51" s="213"/>
      <c r="E51" s="73">
        <v>240.765</v>
      </c>
      <c r="F51" s="73">
        <v>225.73</v>
      </c>
      <c r="G51" s="81">
        <v>19.532799000000004</v>
      </c>
      <c r="H51" s="82">
        <f t="shared" si="0"/>
        <v>15.034999999999997</v>
      </c>
    </row>
    <row r="52" spans="1:8" ht="15">
      <c r="A52" s="77" t="s">
        <v>86</v>
      </c>
      <c r="B52" s="78" t="s">
        <v>87</v>
      </c>
      <c r="C52" s="212">
        <v>234.60682616185514</v>
      </c>
      <c r="D52" s="213"/>
      <c r="E52" s="73">
        <v>298.367</v>
      </c>
      <c r="F52" s="73">
        <v>279.86</v>
      </c>
      <c r="G52" s="81">
        <v>25.16043060000001</v>
      </c>
      <c r="H52" s="82">
        <f t="shared" si="0"/>
        <v>18.507000000000005</v>
      </c>
    </row>
    <row r="53" spans="1:8" ht="15">
      <c r="A53" s="77" t="s">
        <v>88</v>
      </c>
      <c r="B53" s="78" t="s">
        <v>89</v>
      </c>
      <c r="C53" s="212">
        <v>57.54910326494649</v>
      </c>
      <c r="D53" s="213"/>
      <c r="E53" s="73">
        <v>56.307</v>
      </c>
      <c r="F53" s="73">
        <v>52.87</v>
      </c>
      <c r="G53" s="81">
        <v>4.644162000000001</v>
      </c>
      <c r="H53" s="82">
        <f t="shared" si="0"/>
        <v>3.4370000000000047</v>
      </c>
    </row>
    <row r="54" spans="1:8" ht="15">
      <c r="A54" s="77" t="s">
        <v>90</v>
      </c>
      <c r="B54" s="78" t="s">
        <v>91</v>
      </c>
      <c r="C54" s="212">
        <v>256.24733461899007</v>
      </c>
      <c r="D54" s="213"/>
      <c r="E54" s="73">
        <v>245.295</v>
      </c>
      <c r="F54" s="73">
        <v>229.93</v>
      </c>
      <c r="G54" s="81">
        <v>19.560117600000005</v>
      </c>
      <c r="H54" s="82">
        <f t="shared" si="0"/>
        <v>15.36499999999998</v>
      </c>
    </row>
    <row r="55" spans="1:8" ht="30.75" customHeight="1">
      <c r="A55" s="77" t="s">
        <v>92</v>
      </c>
      <c r="B55" s="78" t="s">
        <v>93</v>
      </c>
      <c r="C55" s="212">
        <v>750.056547817616</v>
      </c>
      <c r="D55" s="213"/>
      <c r="E55" s="73">
        <v>939.761</v>
      </c>
      <c r="F55" s="73">
        <v>881.13</v>
      </c>
      <c r="G55" s="81">
        <v>76.8472218</v>
      </c>
      <c r="H55" s="82">
        <f t="shared" si="0"/>
        <v>58.63099999999997</v>
      </c>
    </row>
    <row r="56" spans="1:8" ht="15">
      <c r="A56" s="77" t="s">
        <v>94</v>
      </c>
      <c r="B56" s="78" t="s">
        <v>95</v>
      </c>
      <c r="C56" s="212">
        <v>318.3575863326744</v>
      </c>
      <c r="D56" s="213"/>
      <c r="E56" s="73">
        <v>288.011</v>
      </c>
      <c r="F56" s="73">
        <v>270.21</v>
      </c>
      <c r="G56" s="81">
        <v>24.532102800000008</v>
      </c>
      <c r="H56" s="82">
        <f t="shared" si="0"/>
        <v>17.801000000000045</v>
      </c>
    </row>
    <row r="57" spans="1:8" ht="27.75" customHeight="1">
      <c r="A57" s="77" t="s">
        <v>96</v>
      </c>
      <c r="B57" s="78" t="s">
        <v>97</v>
      </c>
      <c r="C57" s="212">
        <v>104.99175720041852</v>
      </c>
      <c r="D57" s="213"/>
      <c r="E57" s="73">
        <v>150.801</v>
      </c>
      <c r="F57" s="73">
        <v>141.4</v>
      </c>
      <c r="G57" s="81">
        <v>12.484600200000004</v>
      </c>
      <c r="H57" s="82">
        <f t="shared" si="0"/>
        <v>9.400999999999982</v>
      </c>
    </row>
    <row r="58" spans="1:8" s="158" customFormat="1" ht="15">
      <c r="A58" s="77" t="s">
        <v>98</v>
      </c>
      <c r="B58" s="78" t="s">
        <v>99</v>
      </c>
      <c r="C58" s="212">
        <v>257.451021198926</v>
      </c>
      <c r="D58" s="213"/>
      <c r="E58" s="73">
        <v>249.826</v>
      </c>
      <c r="F58" s="73">
        <v>234.13</v>
      </c>
      <c r="G58" s="81">
        <v>20.734817400000004</v>
      </c>
      <c r="H58" s="82">
        <f t="shared" si="0"/>
        <v>15.695999999999998</v>
      </c>
    </row>
    <row r="59" spans="1:8" s="159" customFormat="1" ht="16.5">
      <c r="A59" s="77" t="s">
        <v>100</v>
      </c>
      <c r="B59" s="78" t="s">
        <v>101</v>
      </c>
      <c r="C59" s="212">
        <v>1114.4803392015206</v>
      </c>
      <c r="D59" s="213"/>
      <c r="E59" s="73">
        <v>1087.974</v>
      </c>
      <c r="F59" s="73">
        <v>1020.43</v>
      </c>
      <c r="G59" s="81">
        <v>88.89472440000002</v>
      </c>
      <c r="H59" s="82">
        <f t="shared" si="0"/>
        <v>67.54399999999998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>
        <f t="shared" si="0"/>
        <v>0</v>
      </c>
    </row>
    <row r="61" spans="1:8" ht="28.5">
      <c r="A61" s="77" t="s">
        <v>104</v>
      </c>
      <c r="B61" s="78" t="s">
        <v>105</v>
      </c>
      <c r="C61" s="212">
        <v>2.4055586525159627</v>
      </c>
      <c r="D61" s="213"/>
      <c r="E61" s="73">
        <v>2.589</v>
      </c>
      <c r="F61" s="73">
        <v>2.52</v>
      </c>
      <c r="G61" s="81">
        <v>0.19123020000000007</v>
      </c>
      <c r="H61" s="82">
        <f t="shared" si="0"/>
        <v>0.06899999999999995</v>
      </c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31.5" customHeight="1" hidden="1" thickBot="1" thickTop="1">
      <c r="A63" s="216" t="s">
        <v>108</v>
      </c>
      <c r="B63" s="217" t="s">
        <v>109</v>
      </c>
      <c r="C63" s="218">
        <v>648.8964608</v>
      </c>
      <c r="D63" s="218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221">
        <v>6931.832763904425</v>
      </c>
      <c r="D64" s="222"/>
      <c r="E64" s="166">
        <v>6078.41828</v>
      </c>
      <c r="F64" s="166">
        <v>5738.6549</v>
      </c>
      <c r="G64" s="167">
        <v>167.9001156</v>
      </c>
      <c r="H64" s="168">
        <f>E64-F64</f>
        <v>339.7633799999994</v>
      </c>
    </row>
    <row r="65" spans="1:8" ht="15.75" thickTop="1">
      <c r="A65" s="169"/>
      <c r="B65" s="170" t="s">
        <v>113</v>
      </c>
      <c r="C65" s="223">
        <v>2682.7583515950337</v>
      </c>
      <c r="D65" s="224"/>
      <c r="E65" s="225">
        <v>2059.40879</v>
      </c>
      <c r="F65" s="225">
        <v>1912.101</v>
      </c>
      <c r="G65" s="163">
        <v>167.9001156</v>
      </c>
      <c r="H65" s="226">
        <f>E65-F65</f>
        <v>147.30778999999984</v>
      </c>
    </row>
    <row r="66" spans="1:8" ht="15">
      <c r="A66" s="101"/>
      <c r="B66" s="116" t="s">
        <v>114</v>
      </c>
      <c r="C66" s="227">
        <v>1159.5615297441914</v>
      </c>
      <c r="D66" s="228"/>
      <c r="E66" s="229">
        <v>1088.2063</v>
      </c>
      <c r="F66" s="229">
        <v>1021.379</v>
      </c>
      <c r="G66" s="81"/>
      <c r="H66" s="179">
        <f>E66-F66</f>
        <v>66.82730000000004</v>
      </c>
    </row>
    <row r="67" spans="1:8" ht="15">
      <c r="A67" s="101"/>
      <c r="B67" s="116" t="s">
        <v>115</v>
      </c>
      <c r="C67" s="227">
        <v>989.8965696506746</v>
      </c>
      <c r="D67" s="228"/>
      <c r="E67" s="229">
        <v>948.06387</v>
      </c>
      <c r="F67" s="229">
        <v>883.063</v>
      </c>
      <c r="G67" s="119"/>
      <c r="H67" s="179">
        <f>E67-F67</f>
        <v>65.00086999999996</v>
      </c>
    </row>
    <row r="68" spans="1:8" ht="15">
      <c r="A68" s="101"/>
      <c r="B68" s="116" t="s">
        <v>116</v>
      </c>
      <c r="C68" s="227">
        <v>1326.7067451965797</v>
      </c>
      <c r="D68" s="228"/>
      <c r="E68" s="229">
        <v>1274.32422</v>
      </c>
      <c r="F68" s="229">
        <v>1196.267</v>
      </c>
      <c r="G68" s="119"/>
      <c r="H68" s="179">
        <f>E68-F68</f>
        <v>78.05721999999992</v>
      </c>
    </row>
    <row r="69" spans="1:8" ht="15.75" thickBot="1">
      <c r="A69" s="105"/>
      <c r="B69" s="174" t="s">
        <v>117</v>
      </c>
      <c r="C69" s="227">
        <v>772.9095677179455</v>
      </c>
      <c r="D69" s="228"/>
      <c r="E69" s="230">
        <v>708.4151</v>
      </c>
      <c r="F69" s="230">
        <v>725.8449</v>
      </c>
      <c r="G69" s="231"/>
      <c r="H69" s="232">
        <f>30.27187+13.43833</f>
        <v>43.7102</v>
      </c>
    </row>
    <row r="70" spans="1:8" ht="19.5" thickBot="1" thickTop="1">
      <c r="A70" s="109" t="s">
        <v>118</v>
      </c>
      <c r="B70" s="233" t="s">
        <v>119</v>
      </c>
      <c r="C70" s="221">
        <v>10773.82221915563</v>
      </c>
      <c r="D70" s="222"/>
      <c r="E70" s="234">
        <v>10552.73328</v>
      </c>
      <c r="F70" s="234">
        <v>9934.494900000002</v>
      </c>
      <c r="G70" s="234">
        <v>528.1778124</v>
      </c>
      <c r="H70" s="235">
        <f>H25+H64</f>
        <v>618.2383799999989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53.43483</v>
      </c>
      <c r="F71" s="234">
        <v>51.55854</v>
      </c>
      <c r="G71" s="234">
        <v>0</v>
      </c>
      <c r="H71" s="235">
        <f>E71-F71</f>
        <v>1.8762899999999973</v>
      </c>
    </row>
    <row r="72" spans="1:8" ht="15.75" thickTop="1">
      <c r="A72" s="176"/>
      <c r="B72" s="170" t="s">
        <v>122</v>
      </c>
      <c r="C72" s="223"/>
      <c r="D72" s="224"/>
      <c r="E72" s="117">
        <v>53.43483</v>
      </c>
      <c r="F72" s="117">
        <v>51.55854</v>
      </c>
      <c r="G72" s="117"/>
      <c r="H72" s="226">
        <f>E72-F72</f>
        <v>1.8762899999999973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97.145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88.73049</v>
      </c>
      <c r="D75" s="239"/>
      <c r="E75" s="240">
        <v>88.73049</v>
      </c>
      <c r="F75" s="240">
        <v>84.62188</v>
      </c>
      <c r="G75" s="240"/>
      <c r="H75" s="241">
        <f>E75-F75</f>
        <v>4.108609999999999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7308.854669999999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3134.0349999999994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4157.4333799999995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17.386289999999995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2">
    <tabColor theme="9" tint="0.39998000860214233"/>
  </sheetPr>
  <dimension ref="A1:H104"/>
  <sheetViews>
    <sheetView zoomScaleSheetLayoutView="80" zoomScalePageLayoutView="0" workbookViewId="0" topLeftCell="A1">
      <selection activeCell="E71" sqref="E71"/>
    </sheetView>
  </sheetViews>
  <sheetFormatPr defaultColWidth="9.140625" defaultRowHeight="15"/>
  <cols>
    <col min="1" max="1" width="8.57421875" style="187" customWidth="1"/>
    <col min="2" max="2" width="55.7109375" style="140" customWidth="1"/>
    <col min="3" max="3" width="15.28125" style="140" customWidth="1"/>
    <col min="4" max="4" width="10.28125" style="140" customWidth="1"/>
    <col min="5" max="5" width="19.140625" style="140" customWidth="1"/>
    <col min="6" max="6" width="23.8515625" style="140" customWidth="1"/>
    <col min="7" max="7" width="21.421875" style="140" customWidth="1"/>
    <col min="8" max="8" width="23.8515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Металлургов</v>
      </c>
      <c r="E2" s="5"/>
      <c r="F2" s="5" t="s">
        <v>3</v>
      </c>
      <c r="G2" s="7">
        <f>D17</f>
        <v>19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163</v>
      </c>
      <c r="C17" s="31" t="s">
        <v>3</v>
      </c>
      <c r="D17" s="31">
        <v>19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2854.63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1286.5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1556.93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11.2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5832.612652996964</v>
      </c>
      <c r="D25" s="57">
        <v>0</v>
      </c>
      <c r="E25" s="58">
        <v>5469.821</v>
      </c>
      <c r="F25" s="58">
        <v>5507.95</v>
      </c>
      <c r="G25" s="157">
        <v>87.8327652</v>
      </c>
      <c r="H25" s="59">
        <f>E25-F25</f>
        <v>-38.128999999999905</v>
      </c>
    </row>
    <row r="26" spans="1:8" s="143" customFormat="1" ht="18">
      <c r="A26" s="60" t="s">
        <v>36</v>
      </c>
      <c r="B26" s="61" t="s">
        <v>37</v>
      </c>
      <c r="C26" s="62">
        <v>216.16</v>
      </c>
      <c r="D26" s="62"/>
      <c r="E26" s="63">
        <v>1311.184</v>
      </c>
      <c r="F26" s="63">
        <v>1322.45</v>
      </c>
      <c r="G26" s="313">
        <v>21.306682799999997</v>
      </c>
      <c r="H26" s="64">
        <f>E26-F26</f>
        <v>-11.266000000000076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5616.452652996964</v>
      </c>
      <c r="D50" s="62">
        <v>0</v>
      </c>
      <c r="E50" s="63">
        <v>4158.637</v>
      </c>
      <c r="F50" s="63">
        <v>4185.5</v>
      </c>
      <c r="G50" s="63">
        <v>66.52608239999999</v>
      </c>
      <c r="H50" s="64">
        <f aca="true" t="shared" si="0" ref="H50:H61">E50-F50</f>
        <v>-26.863000000000284</v>
      </c>
    </row>
    <row r="51" spans="1:8" s="158" customFormat="1" ht="15">
      <c r="A51" s="77" t="s">
        <v>84</v>
      </c>
      <c r="B51" s="78" t="s">
        <v>85</v>
      </c>
      <c r="C51" s="79">
        <v>575.475576457775</v>
      </c>
      <c r="D51" s="80"/>
      <c r="E51" s="73">
        <v>271.899</v>
      </c>
      <c r="F51" s="73">
        <v>273.75</v>
      </c>
      <c r="G51" s="81">
        <v>4.2826872</v>
      </c>
      <c r="H51" s="82">
        <f t="shared" si="0"/>
        <v>-1.850999999999999</v>
      </c>
    </row>
    <row r="52" spans="1:8" s="158" customFormat="1" ht="15">
      <c r="A52" s="77" t="s">
        <v>86</v>
      </c>
      <c r="B52" s="78" t="s">
        <v>87</v>
      </c>
      <c r="C52" s="79">
        <v>366.6628245728912</v>
      </c>
      <c r="D52" s="80"/>
      <c r="E52" s="73">
        <v>354.31</v>
      </c>
      <c r="F52" s="73">
        <v>357.47</v>
      </c>
      <c r="G52" s="81">
        <v>5.9091036</v>
      </c>
      <c r="H52" s="82">
        <f t="shared" si="0"/>
        <v>-3.160000000000025</v>
      </c>
    </row>
    <row r="53" spans="1:8" s="158" customFormat="1" ht="15">
      <c r="A53" s="77" t="s">
        <v>88</v>
      </c>
      <c r="B53" s="78" t="s">
        <v>89</v>
      </c>
      <c r="C53" s="79">
        <v>71.55728042307469</v>
      </c>
      <c r="D53" s="80"/>
      <c r="E53" s="73">
        <v>67.033</v>
      </c>
      <c r="F53" s="73">
        <v>67.2</v>
      </c>
      <c r="G53" s="81">
        <v>1.09893</v>
      </c>
      <c r="H53" s="82">
        <f t="shared" si="0"/>
        <v>-0.1670000000000016</v>
      </c>
    </row>
    <row r="54" spans="1:8" s="158" customFormat="1" ht="15">
      <c r="A54" s="77" t="s">
        <v>90</v>
      </c>
      <c r="B54" s="78" t="s">
        <v>91</v>
      </c>
      <c r="C54" s="79">
        <v>329.72979306988293</v>
      </c>
      <c r="D54" s="80"/>
      <c r="E54" s="73">
        <v>285.456</v>
      </c>
      <c r="F54" s="73">
        <v>286.96</v>
      </c>
      <c r="G54" s="81">
        <v>4.4961936</v>
      </c>
      <c r="H54" s="82">
        <f t="shared" si="0"/>
        <v>-1.5039999999999623</v>
      </c>
    </row>
    <row r="55" spans="1:8" s="158" customFormat="1" ht="29.25" customHeight="1">
      <c r="A55" s="77" t="s">
        <v>92</v>
      </c>
      <c r="B55" s="78" t="s">
        <v>93</v>
      </c>
      <c r="C55" s="79">
        <v>1709.7599504786388</v>
      </c>
      <c r="D55" s="80"/>
      <c r="E55" s="73">
        <v>1135.801</v>
      </c>
      <c r="F55" s="73">
        <v>1143.45</v>
      </c>
      <c r="G55" s="81">
        <v>17.965935599999998</v>
      </c>
      <c r="H55" s="82">
        <f t="shared" si="0"/>
        <v>-7.649000000000115</v>
      </c>
    </row>
    <row r="56" spans="1:8" s="158" customFormat="1" ht="15">
      <c r="A56" s="77" t="s">
        <v>94</v>
      </c>
      <c r="B56" s="78" t="s">
        <v>95</v>
      </c>
      <c r="C56" s="79">
        <v>175.62620769382843</v>
      </c>
      <c r="D56" s="80"/>
      <c r="E56" s="73">
        <v>156.661</v>
      </c>
      <c r="F56" s="73">
        <v>157.53</v>
      </c>
      <c r="G56" s="81">
        <v>2.5997544</v>
      </c>
      <c r="H56" s="82">
        <f t="shared" si="0"/>
        <v>-0.8689999999999998</v>
      </c>
    </row>
    <row r="57" spans="1:8" s="158" customFormat="1" ht="15">
      <c r="A57" s="77" t="s">
        <v>96</v>
      </c>
      <c r="B57" s="78" t="s">
        <v>97</v>
      </c>
      <c r="C57" s="79">
        <v>140.8329573658064</v>
      </c>
      <c r="D57" s="80"/>
      <c r="E57" s="73">
        <v>204.865</v>
      </c>
      <c r="F57" s="73">
        <v>206</v>
      </c>
      <c r="G57" s="81">
        <v>3.1209612</v>
      </c>
      <c r="H57" s="82">
        <f t="shared" si="0"/>
        <v>-1.134999999999991</v>
      </c>
    </row>
    <row r="58" spans="1:8" s="158" customFormat="1" ht="15">
      <c r="A58" s="77" t="s">
        <v>98</v>
      </c>
      <c r="B58" s="78" t="s">
        <v>99</v>
      </c>
      <c r="C58" s="79">
        <v>489.7681504485942</v>
      </c>
      <c r="D58" s="80"/>
      <c r="E58" s="73">
        <v>382.617</v>
      </c>
      <c r="F58" s="73">
        <v>385.01</v>
      </c>
      <c r="G58" s="81">
        <v>6.128889599999999</v>
      </c>
      <c r="H58" s="82">
        <f t="shared" si="0"/>
        <v>-2.3929999999999723</v>
      </c>
    </row>
    <row r="59" spans="1:8" s="158" customFormat="1" ht="15">
      <c r="A59" s="77" t="s">
        <v>100</v>
      </c>
      <c r="B59" s="78" t="s">
        <v>101</v>
      </c>
      <c r="C59" s="79">
        <v>1754.3293939711773</v>
      </c>
      <c r="D59" s="80"/>
      <c r="E59" s="73">
        <v>1296.982</v>
      </c>
      <c r="F59" s="73">
        <v>1305.38</v>
      </c>
      <c r="G59" s="81">
        <v>20.879669999999997</v>
      </c>
      <c r="H59" s="82">
        <f t="shared" si="0"/>
        <v>-8.398000000000138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2.7105185152959557</v>
      </c>
      <c r="D61" s="80"/>
      <c r="E61" s="73">
        <v>3.013</v>
      </c>
      <c r="F61" s="73">
        <v>2.75</v>
      </c>
      <c r="G61" s="81">
        <v>0.0439572</v>
      </c>
      <c r="H61" s="82">
        <f t="shared" si="0"/>
        <v>0.2629999999999999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1127.5966828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7106.636116453512</v>
      </c>
      <c r="D64" s="114"/>
      <c r="E64" s="112">
        <v>7221.913729999999</v>
      </c>
      <c r="F64" s="112">
        <v>7371.6049299999995</v>
      </c>
      <c r="G64" s="112">
        <v>38.5944216</v>
      </c>
      <c r="H64" s="235">
        <f>E64-F64</f>
        <v>-149.6912000000002</v>
      </c>
    </row>
    <row r="65" spans="1:8" ht="15.75" thickTop="1">
      <c r="A65" s="176"/>
      <c r="B65" s="170" t="s">
        <v>113</v>
      </c>
      <c r="C65" s="171">
        <v>2599.5153896953243</v>
      </c>
      <c r="D65" s="171"/>
      <c r="E65" s="163">
        <v>2375.4123</v>
      </c>
      <c r="F65" s="163">
        <v>2366.246</v>
      </c>
      <c r="G65" s="172">
        <v>38.5944216</v>
      </c>
      <c r="H65" s="226">
        <f>E65-F65</f>
        <v>9.166299999999865</v>
      </c>
    </row>
    <row r="66" spans="1:8" ht="15">
      <c r="A66" s="115"/>
      <c r="B66" s="116" t="s">
        <v>114</v>
      </c>
      <c r="C66" s="103">
        <v>1236.048588700926</v>
      </c>
      <c r="D66" s="103"/>
      <c r="E66" s="81">
        <v>1333.59653</v>
      </c>
      <c r="F66" s="81">
        <v>1377.695</v>
      </c>
      <c r="G66" s="81"/>
      <c r="H66" s="179">
        <f>E66-F66</f>
        <v>-44.09846999999991</v>
      </c>
    </row>
    <row r="67" spans="1:8" ht="15">
      <c r="A67" s="115"/>
      <c r="B67" s="116" t="s">
        <v>115</v>
      </c>
      <c r="C67" s="103">
        <v>1060.8389986293607</v>
      </c>
      <c r="D67" s="103"/>
      <c r="E67" s="81">
        <v>1172.83956</v>
      </c>
      <c r="F67" s="81">
        <v>1207.807</v>
      </c>
      <c r="G67" s="81"/>
      <c r="H67" s="179">
        <f>E67-F67</f>
        <v>-34.967440000000124</v>
      </c>
    </row>
    <row r="68" spans="1:8" ht="15">
      <c r="A68" s="115"/>
      <c r="B68" s="116" t="s">
        <v>116</v>
      </c>
      <c r="C68" s="103">
        <v>1430.1227181844085</v>
      </c>
      <c r="D68" s="103"/>
      <c r="E68" s="81">
        <v>1571.48537</v>
      </c>
      <c r="F68" s="81">
        <v>1619.765</v>
      </c>
      <c r="G68" s="81"/>
      <c r="H68" s="179">
        <f>E68-F68</f>
        <v>-48.27963</v>
      </c>
    </row>
    <row r="69" spans="1:8" ht="15.75" thickBot="1">
      <c r="A69" s="318"/>
      <c r="B69" s="174" t="s">
        <v>117</v>
      </c>
      <c r="C69" s="103">
        <v>780.1104212434924</v>
      </c>
      <c r="D69" s="103"/>
      <c r="E69" s="88">
        <v>768.57997</v>
      </c>
      <c r="F69" s="88">
        <v>800.09193</v>
      </c>
      <c r="G69" s="88"/>
      <c r="H69" s="232">
        <f>44.18175+6.17601</f>
        <v>50.35776</v>
      </c>
    </row>
    <row r="70" spans="1:8" ht="19.5" thickBot="1" thickTop="1">
      <c r="A70" s="165" t="s">
        <v>118</v>
      </c>
      <c r="B70" s="234" t="s">
        <v>119</v>
      </c>
      <c r="C70" s="114">
        <v>12939.248769450476</v>
      </c>
      <c r="D70" s="114"/>
      <c r="E70" s="112">
        <v>12691.73473</v>
      </c>
      <c r="F70" s="112">
        <v>12879.554929999998</v>
      </c>
      <c r="G70" s="112">
        <v>126.42718679999999</v>
      </c>
      <c r="H70" s="235">
        <f>H25+H64</f>
        <v>-187.8202000000001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50.26118</v>
      </c>
      <c r="F71" s="112">
        <v>45.268100000000004</v>
      </c>
      <c r="G71" s="112">
        <v>0</v>
      </c>
      <c r="H71" s="235">
        <f>E71-F71</f>
        <v>4.993079999999999</v>
      </c>
    </row>
    <row r="72" spans="1:8" ht="15.75" thickTop="1">
      <c r="A72" s="115"/>
      <c r="B72" s="116" t="s">
        <v>122</v>
      </c>
      <c r="C72" s="118"/>
      <c r="D72" s="118"/>
      <c r="E72" s="81">
        <v>50.26118</v>
      </c>
      <c r="F72" s="81">
        <v>45.268100000000004</v>
      </c>
      <c r="G72" s="119"/>
      <c r="H72" s="179">
        <f>E72-F72</f>
        <v>4.993079999999999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161.744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21.06455</v>
      </c>
      <c r="D75" s="114"/>
      <c r="E75" s="323">
        <v>21.06455</v>
      </c>
      <c r="F75" s="323">
        <v>21.06455</v>
      </c>
      <c r="G75" s="180"/>
      <c r="H75" s="234">
        <f>E75-F75</f>
        <v>0</v>
      </c>
    </row>
    <row r="76" spans="1:8" ht="21.7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2671.80288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1248.371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1407.2387999999999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16.19308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1:H104"/>
  <sheetViews>
    <sheetView zoomScaleSheetLayoutView="80" zoomScalePageLayoutView="0" workbookViewId="0" topLeftCell="A1">
      <selection activeCell="F71" sqref="F71"/>
    </sheetView>
  </sheetViews>
  <sheetFormatPr defaultColWidth="9.140625" defaultRowHeight="15"/>
  <cols>
    <col min="1" max="1" width="8.57421875" style="187" customWidth="1"/>
    <col min="2" max="2" width="54.140625" style="140" customWidth="1"/>
    <col min="3" max="3" width="15.28125" style="140" customWidth="1"/>
    <col min="4" max="4" width="8.140625" style="140" customWidth="1"/>
    <col min="5" max="5" width="16.57421875" style="140" customWidth="1"/>
    <col min="6" max="6" width="23.8515625" style="140" customWidth="1"/>
    <col min="7" max="7" width="19.140625" style="140" customWidth="1"/>
    <col min="8" max="8" width="13.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Металлургов</v>
      </c>
      <c r="E2" s="5"/>
      <c r="F2" s="5" t="s">
        <v>3</v>
      </c>
      <c r="G2" s="7">
        <f>D17</f>
        <v>25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163</v>
      </c>
      <c r="C17" s="31" t="s">
        <v>3</v>
      </c>
      <c r="D17" s="31">
        <v>25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1586.1999999999998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1140.79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446.81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-1.4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4536.681957416333</v>
      </c>
      <c r="D25" s="57">
        <v>0</v>
      </c>
      <c r="E25" s="58">
        <v>2728.112</v>
      </c>
      <c r="F25" s="58">
        <v>2645.208</v>
      </c>
      <c r="G25" s="157">
        <v>1350.9008262</v>
      </c>
      <c r="H25" s="59">
        <f>E25-F25</f>
        <v>82.904</v>
      </c>
    </row>
    <row r="26" spans="1:8" s="143" customFormat="1" ht="18">
      <c r="A26" s="60" t="s">
        <v>36</v>
      </c>
      <c r="B26" s="61" t="s">
        <v>37</v>
      </c>
      <c r="C26" s="62">
        <v>411.9</v>
      </c>
      <c r="D26" s="62"/>
      <c r="E26" s="63">
        <v>647.413</v>
      </c>
      <c r="F26" s="63">
        <v>627.968</v>
      </c>
      <c r="G26" s="63">
        <v>327.70476179999997</v>
      </c>
      <c r="H26" s="64">
        <f>E26-F26</f>
        <v>19.44500000000005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4124.781957416333</v>
      </c>
      <c r="D50" s="62">
        <v>0</v>
      </c>
      <c r="E50" s="63">
        <v>2080.699</v>
      </c>
      <c r="F50" s="63">
        <v>2017.24</v>
      </c>
      <c r="G50" s="63">
        <v>1023.1960644</v>
      </c>
      <c r="H50" s="64">
        <f aca="true" t="shared" si="0" ref="H50:H61">E50-F50</f>
        <v>63.45900000000006</v>
      </c>
    </row>
    <row r="51" spans="1:8" s="158" customFormat="1" ht="15">
      <c r="A51" s="77" t="s">
        <v>84</v>
      </c>
      <c r="B51" s="78" t="s">
        <v>85</v>
      </c>
      <c r="C51" s="79">
        <v>420.6320559128537</v>
      </c>
      <c r="D51" s="80"/>
      <c r="E51" s="73">
        <v>136</v>
      </c>
      <c r="F51" s="73">
        <v>131.73</v>
      </c>
      <c r="G51" s="81">
        <v>65.8693332</v>
      </c>
      <c r="H51" s="82">
        <f t="shared" si="0"/>
        <v>4.27000000000001</v>
      </c>
    </row>
    <row r="52" spans="1:8" s="158" customFormat="1" ht="15">
      <c r="A52" s="77" t="s">
        <v>86</v>
      </c>
      <c r="B52" s="78" t="s">
        <v>87</v>
      </c>
      <c r="C52" s="79">
        <v>273.50784488309546</v>
      </c>
      <c r="D52" s="80"/>
      <c r="E52" s="73">
        <v>177.817</v>
      </c>
      <c r="F52" s="73">
        <v>172.47</v>
      </c>
      <c r="G52" s="81">
        <v>90.88422659999999</v>
      </c>
      <c r="H52" s="82">
        <f t="shared" si="0"/>
        <v>5.347000000000008</v>
      </c>
    </row>
    <row r="53" spans="1:8" s="158" customFormat="1" ht="15">
      <c r="A53" s="77" t="s">
        <v>88</v>
      </c>
      <c r="B53" s="78" t="s">
        <v>89</v>
      </c>
      <c r="C53" s="79">
        <v>52.966384321396156</v>
      </c>
      <c r="D53" s="80"/>
      <c r="E53" s="73">
        <v>33.529</v>
      </c>
      <c r="F53" s="73">
        <v>32.54</v>
      </c>
      <c r="G53" s="81">
        <v>16.901954999999997</v>
      </c>
      <c r="H53" s="82">
        <f t="shared" si="0"/>
        <v>0.9890000000000043</v>
      </c>
    </row>
    <row r="54" spans="1:8" s="158" customFormat="1" ht="15">
      <c r="A54" s="77" t="s">
        <v>90</v>
      </c>
      <c r="B54" s="78" t="s">
        <v>91</v>
      </c>
      <c r="C54" s="79">
        <v>241.00869797389683</v>
      </c>
      <c r="D54" s="80"/>
      <c r="E54" s="73">
        <v>142.781</v>
      </c>
      <c r="F54" s="73">
        <v>138.34</v>
      </c>
      <c r="G54" s="81">
        <v>69.1531416</v>
      </c>
      <c r="H54" s="82">
        <f t="shared" si="0"/>
        <v>4.4410000000000025</v>
      </c>
    </row>
    <row r="55" spans="1:8" s="158" customFormat="1" ht="30.75" customHeight="1">
      <c r="A55" s="77" t="s">
        <v>92</v>
      </c>
      <c r="B55" s="78" t="s">
        <v>93</v>
      </c>
      <c r="C55" s="79">
        <v>1251.3774547375574</v>
      </c>
      <c r="D55" s="80"/>
      <c r="E55" s="73">
        <v>568.122</v>
      </c>
      <c r="F55" s="73">
        <v>550.73</v>
      </c>
      <c r="G55" s="81">
        <v>276.3228186</v>
      </c>
      <c r="H55" s="82">
        <f t="shared" si="0"/>
        <v>17.39199999999994</v>
      </c>
    </row>
    <row r="56" spans="1:8" s="158" customFormat="1" ht="15">
      <c r="A56" s="77" t="s">
        <v>94</v>
      </c>
      <c r="B56" s="78" t="s">
        <v>95</v>
      </c>
      <c r="C56" s="79">
        <v>130.50621366712122</v>
      </c>
      <c r="D56" s="80"/>
      <c r="E56" s="73">
        <v>78.36</v>
      </c>
      <c r="F56" s="73">
        <v>75.92</v>
      </c>
      <c r="G56" s="81">
        <v>39.98519640000001</v>
      </c>
      <c r="H56" s="82">
        <f t="shared" si="0"/>
        <v>2.4399999999999977</v>
      </c>
    </row>
    <row r="57" spans="1:8" s="158" customFormat="1" ht="15">
      <c r="A57" s="77" t="s">
        <v>96</v>
      </c>
      <c r="B57" s="78" t="s">
        <v>97</v>
      </c>
      <c r="C57" s="79">
        <v>101.88906215804087</v>
      </c>
      <c r="D57" s="80"/>
      <c r="E57" s="73">
        <v>102.471</v>
      </c>
      <c r="F57" s="73">
        <v>99.46</v>
      </c>
      <c r="G57" s="81">
        <v>48.001552200000006</v>
      </c>
      <c r="H57" s="82">
        <f t="shared" si="0"/>
        <v>3.01100000000001</v>
      </c>
    </row>
    <row r="58" spans="1:8" s="158" customFormat="1" ht="15">
      <c r="A58" s="77" t="s">
        <v>98</v>
      </c>
      <c r="B58" s="78" t="s">
        <v>99</v>
      </c>
      <c r="C58" s="79">
        <v>359.87425151040867</v>
      </c>
      <c r="D58" s="80"/>
      <c r="E58" s="73">
        <v>191.38</v>
      </c>
      <c r="F58" s="73">
        <v>185.43</v>
      </c>
      <c r="G58" s="81">
        <v>94.2646176</v>
      </c>
      <c r="H58" s="82">
        <f t="shared" si="0"/>
        <v>5.949999999999989</v>
      </c>
    </row>
    <row r="59" spans="1:8" s="158" customFormat="1" ht="15">
      <c r="A59" s="77" t="s">
        <v>100</v>
      </c>
      <c r="B59" s="78" t="s">
        <v>101</v>
      </c>
      <c r="C59" s="79">
        <v>1291.085204495391</v>
      </c>
      <c r="D59" s="80"/>
      <c r="E59" s="73">
        <v>648.733</v>
      </c>
      <c r="F59" s="73">
        <v>629.03</v>
      </c>
      <c r="G59" s="81">
        <v>321.137145</v>
      </c>
      <c r="H59" s="82">
        <f t="shared" si="0"/>
        <v>19.702999999999975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1.9347877565716893</v>
      </c>
      <c r="D61" s="80"/>
      <c r="E61" s="73">
        <v>1.506</v>
      </c>
      <c r="F61" s="73">
        <v>1.59</v>
      </c>
      <c r="G61" s="81">
        <v>0.6760782000000001</v>
      </c>
      <c r="H61" s="82">
        <f t="shared" si="0"/>
        <v>-0.08400000000000007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543.7727618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5697.815898667279</v>
      </c>
      <c r="D64" s="114"/>
      <c r="E64" s="112">
        <v>4569.485343</v>
      </c>
      <c r="F64" s="112">
        <v>4534.30825</v>
      </c>
      <c r="G64" s="112">
        <v>593.5966596000001</v>
      </c>
      <c r="H64" s="235">
        <f>E64-F64</f>
        <v>35.17709300000024</v>
      </c>
    </row>
    <row r="65" spans="1:8" ht="15.75" thickTop="1">
      <c r="A65" s="176"/>
      <c r="B65" s="170" t="s">
        <v>113</v>
      </c>
      <c r="C65" s="171">
        <v>2894.2734676583646</v>
      </c>
      <c r="D65" s="171"/>
      <c r="E65" s="163">
        <v>1563.16053</v>
      </c>
      <c r="F65" s="163">
        <v>1496.827</v>
      </c>
      <c r="G65" s="172">
        <v>593.5966596000001</v>
      </c>
      <c r="H65" s="226">
        <f>E65-F65</f>
        <v>66.33353000000011</v>
      </c>
    </row>
    <row r="66" spans="1:8" ht="15">
      <c r="A66" s="115"/>
      <c r="B66" s="116" t="s">
        <v>114</v>
      </c>
      <c r="C66" s="103">
        <v>740.6788151240389</v>
      </c>
      <c r="D66" s="103"/>
      <c r="E66" s="81">
        <v>799.13258</v>
      </c>
      <c r="F66" s="81">
        <v>782.239</v>
      </c>
      <c r="G66" s="81"/>
      <c r="H66" s="179">
        <f>E66-F66</f>
        <v>16.89357999999993</v>
      </c>
    </row>
    <row r="67" spans="1:8" ht="15">
      <c r="A67" s="115"/>
      <c r="B67" s="116" t="s">
        <v>115</v>
      </c>
      <c r="C67" s="103">
        <v>639.6477780185221</v>
      </c>
      <c r="D67" s="103"/>
      <c r="E67" s="81">
        <v>707.18009</v>
      </c>
      <c r="F67" s="81">
        <v>686.94</v>
      </c>
      <c r="G67" s="81"/>
      <c r="H67" s="179">
        <f>E67-F67</f>
        <v>20.240089999999896</v>
      </c>
    </row>
    <row r="68" spans="1:8" ht="15">
      <c r="A68" s="115"/>
      <c r="B68" s="116" t="s">
        <v>116</v>
      </c>
      <c r="C68" s="103">
        <v>860.9938822339925</v>
      </c>
      <c r="D68" s="103"/>
      <c r="E68" s="81">
        <v>946.10013</v>
      </c>
      <c r="F68" s="81">
        <v>916.953</v>
      </c>
      <c r="G68" s="81"/>
      <c r="H68" s="179">
        <f>E68-F68</f>
        <v>29.14713000000006</v>
      </c>
    </row>
    <row r="69" spans="1:8" ht="15.75" thickBot="1">
      <c r="A69" s="318"/>
      <c r="B69" s="174" t="s">
        <v>117</v>
      </c>
      <c r="C69" s="103">
        <v>562.2219556323604</v>
      </c>
      <c r="D69" s="103"/>
      <c r="E69" s="88">
        <v>553.912013</v>
      </c>
      <c r="F69" s="88">
        <v>651.34925</v>
      </c>
      <c r="G69" s="88"/>
      <c r="H69" s="232">
        <f>-8.5495149-44.43958</f>
        <v>-52.9890949</v>
      </c>
    </row>
    <row r="70" spans="1:8" ht="19.5" thickBot="1" thickTop="1">
      <c r="A70" s="165" t="s">
        <v>118</v>
      </c>
      <c r="B70" s="234" t="s">
        <v>119</v>
      </c>
      <c r="C70" s="114">
        <v>10234.497856083612</v>
      </c>
      <c r="D70" s="114"/>
      <c r="E70" s="112">
        <v>7297.597343</v>
      </c>
      <c r="F70" s="112">
        <v>7179.516250000001</v>
      </c>
      <c r="G70" s="112">
        <v>1944.4974858</v>
      </c>
      <c r="H70" s="235">
        <f>H25+H64</f>
        <v>118.08109300000024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0.11316</v>
      </c>
      <c r="F71" s="112">
        <v>0.00771</v>
      </c>
      <c r="G71" s="112">
        <v>0</v>
      </c>
      <c r="H71" s="235">
        <f>E71-F71</f>
        <v>0.10545</v>
      </c>
    </row>
    <row r="72" spans="1:8" ht="15.75" thickTop="1">
      <c r="A72" s="115"/>
      <c r="B72" s="116" t="s">
        <v>122</v>
      </c>
      <c r="C72" s="118"/>
      <c r="D72" s="118"/>
      <c r="E72" s="81">
        <v>0.11316</v>
      </c>
      <c r="F72" s="81">
        <v>0.00771</v>
      </c>
      <c r="G72" s="119"/>
      <c r="H72" s="179">
        <f>E72-F72</f>
        <v>0.10545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31.908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88.34512</v>
      </c>
      <c r="D75" s="114"/>
      <c r="E75" s="323">
        <v>88.34512</v>
      </c>
      <c r="F75" s="323">
        <v>88.34512</v>
      </c>
      <c r="G75" s="180"/>
      <c r="H75" s="234">
        <f>E75-F75</f>
        <v>0</v>
      </c>
    </row>
    <row r="76" spans="1:8" ht="21.7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1704.386543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1223.694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481.98709300000024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-1.2945499999999999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4">
    <tabColor rgb="FFFFFF00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00390625" style="140" customWidth="1"/>
    <col min="3" max="3" width="16.00390625" style="140" customWidth="1"/>
    <col min="4" max="4" width="9.00390625" style="140" customWidth="1"/>
    <col min="5" max="5" width="17.8515625" style="140" customWidth="1"/>
    <col min="6" max="6" width="23.8515625" style="140" customWidth="1"/>
    <col min="7" max="7" width="19.28125" style="140" customWidth="1"/>
    <col min="8" max="8" width="15.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Металлургов</v>
      </c>
      <c r="E2" s="5"/>
      <c r="F2" s="5" t="s">
        <v>3</v>
      </c>
      <c r="G2" s="7">
        <f>D17</f>
        <v>29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163</v>
      </c>
      <c r="C17" s="31" t="s">
        <v>3</v>
      </c>
      <c r="D17" s="31">
        <v>29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836.2900000000001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369.34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465.87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1.08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5792.668725019695</v>
      </c>
      <c r="D25" s="57">
        <v>0</v>
      </c>
      <c r="E25" s="58">
        <v>5095.73</v>
      </c>
      <c r="F25" s="58">
        <v>5024.820000000001</v>
      </c>
      <c r="G25" s="157">
        <v>235.33407240000003</v>
      </c>
      <c r="H25" s="59">
        <f>E25-F25</f>
        <v>70.90999999999894</v>
      </c>
    </row>
    <row r="26" spans="1:8" s="143" customFormat="1" ht="18">
      <c r="A26" s="60" t="s">
        <v>36</v>
      </c>
      <c r="B26" s="61" t="s">
        <v>37</v>
      </c>
      <c r="C26" s="62">
        <v>445.7</v>
      </c>
      <c r="D26" s="62"/>
      <c r="E26" s="63">
        <v>1251.478</v>
      </c>
      <c r="F26" s="63">
        <v>1206.47</v>
      </c>
      <c r="G26" s="313">
        <v>57.087903600000004</v>
      </c>
      <c r="H26" s="64">
        <f>E26-F26</f>
        <v>45.00800000000004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5346.968725019695</v>
      </c>
      <c r="D50" s="62">
        <v>0</v>
      </c>
      <c r="E50" s="63">
        <v>3844.252</v>
      </c>
      <c r="F50" s="63">
        <v>3818.3500000000004</v>
      </c>
      <c r="G50" s="63">
        <v>178.24616880000002</v>
      </c>
      <c r="H50" s="64">
        <f aca="true" t="shared" si="0" ref="H50:H61">E50-F50</f>
        <v>25.90199999999959</v>
      </c>
    </row>
    <row r="51" spans="1:8" s="158" customFormat="1" ht="15">
      <c r="A51" s="77" t="s">
        <v>84</v>
      </c>
      <c r="B51" s="78" t="s">
        <v>85</v>
      </c>
      <c r="C51" s="79">
        <v>547.6460893186551</v>
      </c>
      <c r="D51" s="80"/>
      <c r="E51" s="73">
        <v>251.351</v>
      </c>
      <c r="F51" s="73">
        <v>249.73</v>
      </c>
      <c r="G51" s="81">
        <v>11.474786400000001</v>
      </c>
      <c r="H51" s="82">
        <f t="shared" si="0"/>
        <v>1.6210000000000093</v>
      </c>
    </row>
    <row r="52" spans="1:8" s="158" customFormat="1" ht="15">
      <c r="A52" s="77" t="s">
        <v>86</v>
      </c>
      <c r="B52" s="78" t="s">
        <v>87</v>
      </c>
      <c r="C52" s="79">
        <v>349.39883740414444</v>
      </c>
      <c r="D52" s="80"/>
      <c r="E52" s="73">
        <v>327.426</v>
      </c>
      <c r="F52" s="73">
        <v>326.11</v>
      </c>
      <c r="G52" s="81">
        <v>15.832513200000001</v>
      </c>
      <c r="H52" s="82">
        <f t="shared" si="0"/>
        <v>1.315999999999974</v>
      </c>
    </row>
    <row r="53" spans="1:8" s="158" customFormat="1" ht="15">
      <c r="A53" s="77" t="s">
        <v>88</v>
      </c>
      <c r="B53" s="78" t="s">
        <v>89</v>
      </c>
      <c r="C53" s="79">
        <v>68.17484794614177</v>
      </c>
      <c r="D53" s="80"/>
      <c r="E53" s="73">
        <v>61.967</v>
      </c>
      <c r="F53" s="73">
        <v>61.3</v>
      </c>
      <c r="G53" s="81">
        <v>2.9444100000000004</v>
      </c>
      <c r="H53" s="82">
        <f t="shared" si="0"/>
        <v>0.6670000000000016</v>
      </c>
    </row>
    <row r="54" spans="1:8" s="158" customFormat="1" ht="15">
      <c r="A54" s="77" t="s">
        <v>90</v>
      </c>
      <c r="B54" s="78" t="s">
        <v>91</v>
      </c>
      <c r="C54" s="79">
        <v>313.78376197303317</v>
      </c>
      <c r="D54" s="80"/>
      <c r="E54" s="73">
        <v>263.883</v>
      </c>
      <c r="F54" s="73">
        <v>261.79</v>
      </c>
      <c r="G54" s="81">
        <v>12.0468432</v>
      </c>
      <c r="H54" s="82">
        <f t="shared" si="0"/>
        <v>2.092999999999961</v>
      </c>
    </row>
    <row r="55" spans="1:8" s="158" customFormat="1" ht="30.75" customHeight="1">
      <c r="A55" s="77" t="s">
        <v>92</v>
      </c>
      <c r="B55" s="78" t="s">
        <v>93</v>
      </c>
      <c r="C55" s="79">
        <v>1627.2717627852273</v>
      </c>
      <c r="D55" s="80"/>
      <c r="E55" s="73">
        <v>1049.966</v>
      </c>
      <c r="F55" s="73">
        <v>1043.15</v>
      </c>
      <c r="G55" s="81">
        <v>48.13689720000001</v>
      </c>
      <c r="H55" s="82">
        <f t="shared" si="0"/>
        <v>6.8159999999998035</v>
      </c>
    </row>
    <row r="56" spans="1:8" s="158" customFormat="1" ht="15">
      <c r="A56" s="77" t="s">
        <v>94</v>
      </c>
      <c r="B56" s="78" t="s">
        <v>95</v>
      </c>
      <c r="C56" s="79">
        <v>167.38515665029</v>
      </c>
      <c r="D56" s="80"/>
      <c r="E56" s="73">
        <v>144.822</v>
      </c>
      <c r="F56" s="73">
        <v>143.71</v>
      </c>
      <c r="G56" s="81">
        <v>6.965632800000002</v>
      </c>
      <c r="H56" s="82">
        <f t="shared" si="0"/>
        <v>1.1119999999999948</v>
      </c>
    </row>
    <row r="57" spans="1:8" s="158" customFormat="1" ht="28.5">
      <c r="A57" s="77" t="s">
        <v>96</v>
      </c>
      <c r="B57" s="78" t="s">
        <v>97</v>
      </c>
      <c r="C57" s="79">
        <v>133.89860793124186</v>
      </c>
      <c r="D57" s="80"/>
      <c r="E57" s="73">
        <v>189.383</v>
      </c>
      <c r="F57" s="73">
        <v>187.93</v>
      </c>
      <c r="G57" s="81">
        <v>8.3621244</v>
      </c>
      <c r="H57" s="82">
        <f t="shared" si="0"/>
        <v>1.453000000000003</v>
      </c>
    </row>
    <row r="58" spans="1:8" s="158" customFormat="1" ht="15">
      <c r="A58" s="77" t="s">
        <v>98</v>
      </c>
      <c r="B58" s="78" t="s">
        <v>99</v>
      </c>
      <c r="C58" s="79">
        <v>466.3062827272093</v>
      </c>
      <c r="D58" s="80"/>
      <c r="E58" s="73">
        <v>353.702</v>
      </c>
      <c r="F58" s="73">
        <v>351.24</v>
      </c>
      <c r="G58" s="81">
        <v>16.4213952</v>
      </c>
      <c r="H58" s="82">
        <f t="shared" si="0"/>
        <v>2.461999999999989</v>
      </c>
    </row>
    <row r="59" spans="1:8" s="158" customFormat="1" ht="15">
      <c r="A59" s="77" t="s">
        <v>100</v>
      </c>
      <c r="B59" s="78" t="s">
        <v>101</v>
      </c>
      <c r="C59" s="79">
        <v>1670.5295675748666</v>
      </c>
      <c r="D59" s="80"/>
      <c r="E59" s="73">
        <v>1198.967</v>
      </c>
      <c r="F59" s="73">
        <v>1190.88</v>
      </c>
      <c r="G59" s="81">
        <v>55.94379000000001</v>
      </c>
      <c r="H59" s="82">
        <f t="shared" si="0"/>
        <v>8.086999999999989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2.573810708885339</v>
      </c>
      <c r="D61" s="80"/>
      <c r="E61" s="73">
        <v>2.785</v>
      </c>
      <c r="F61" s="73">
        <v>2.51</v>
      </c>
      <c r="G61" s="81">
        <v>0.11777640000000002</v>
      </c>
      <c r="H61" s="82">
        <f t="shared" si="0"/>
        <v>0.27500000000000036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817.8579035999999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6292.777508388485</v>
      </c>
      <c r="D64" s="114"/>
      <c r="E64" s="112">
        <v>6244.40836</v>
      </c>
      <c r="F64" s="112">
        <v>6147.527340000001</v>
      </c>
      <c r="G64" s="112">
        <v>103.4076792</v>
      </c>
      <c r="H64" s="235">
        <f>E64-F64</f>
        <v>96.88101999999981</v>
      </c>
    </row>
    <row r="65" spans="1:8" ht="15.75" thickTop="1">
      <c r="A65" s="176"/>
      <c r="B65" s="170" t="s">
        <v>113</v>
      </c>
      <c r="C65" s="171">
        <v>2533.6651807886874</v>
      </c>
      <c r="D65" s="171"/>
      <c r="E65" s="163">
        <v>2210.2567</v>
      </c>
      <c r="F65" s="163">
        <v>2166.899</v>
      </c>
      <c r="G65" s="172">
        <v>103.4076792</v>
      </c>
      <c r="H65" s="226">
        <f>E65-F65</f>
        <v>43.35770000000002</v>
      </c>
    </row>
    <row r="66" spans="1:8" ht="15">
      <c r="A66" s="115"/>
      <c r="B66" s="116" t="s">
        <v>114</v>
      </c>
      <c r="C66" s="103">
        <v>1003.4443263917772</v>
      </c>
      <c r="D66" s="103"/>
      <c r="E66" s="81">
        <v>1082.63533</v>
      </c>
      <c r="F66" s="81">
        <v>1055.63</v>
      </c>
      <c r="G66" s="81"/>
      <c r="H66" s="179">
        <f>E66-F66</f>
        <v>27.005329999999958</v>
      </c>
    </row>
    <row r="67" spans="1:8" ht="15">
      <c r="A67" s="115"/>
      <c r="B67" s="116" t="s">
        <v>115</v>
      </c>
      <c r="C67" s="103">
        <v>865.5999304316143</v>
      </c>
      <c r="D67" s="103"/>
      <c r="E67" s="81">
        <v>956.98767</v>
      </c>
      <c r="F67" s="81">
        <v>933.626</v>
      </c>
      <c r="G67" s="81"/>
      <c r="H67" s="179">
        <f>E67-F67</f>
        <v>23.361670000000004</v>
      </c>
    </row>
    <row r="68" spans="1:8" ht="15">
      <c r="A68" s="115"/>
      <c r="B68" s="116" t="s">
        <v>116</v>
      </c>
      <c r="C68" s="103">
        <v>1165.1873745481132</v>
      </c>
      <c r="D68" s="103"/>
      <c r="E68" s="81">
        <v>1280.36209</v>
      </c>
      <c r="F68" s="81">
        <v>1246.694</v>
      </c>
      <c r="G68" s="81"/>
      <c r="H68" s="179">
        <f>E68-F68</f>
        <v>33.66809000000012</v>
      </c>
    </row>
    <row r="69" spans="1:8" ht="15.75" thickBot="1">
      <c r="A69" s="318"/>
      <c r="B69" s="174" t="s">
        <v>117</v>
      </c>
      <c r="C69" s="103">
        <v>724.8806962282924</v>
      </c>
      <c r="D69" s="103"/>
      <c r="E69" s="88">
        <v>714.16657</v>
      </c>
      <c r="F69" s="88">
        <v>744.67834</v>
      </c>
      <c r="G69" s="88"/>
      <c r="H69" s="232">
        <f>85.8985712-60.38376</f>
        <v>25.514811200000004</v>
      </c>
    </row>
    <row r="70" spans="1:8" ht="19.5" thickBot="1" thickTop="1">
      <c r="A70" s="165" t="s">
        <v>118</v>
      </c>
      <c r="B70" s="234" t="s">
        <v>119</v>
      </c>
      <c r="C70" s="114">
        <v>12085.44623340818</v>
      </c>
      <c r="D70" s="114"/>
      <c r="E70" s="112">
        <v>11340.13836</v>
      </c>
      <c r="F70" s="112">
        <v>11172.34734</v>
      </c>
      <c r="G70" s="112">
        <v>338.74175160000004</v>
      </c>
      <c r="H70" s="235">
        <f>H25+H64</f>
        <v>167.79101999999875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28.46216</v>
      </c>
      <c r="F71" s="112">
        <v>27.22838</v>
      </c>
      <c r="G71" s="112">
        <v>0</v>
      </c>
      <c r="H71" s="235">
        <f>E71-F71</f>
        <v>1.2337799999999994</v>
      </c>
    </row>
    <row r="72" spans="1:8" ht="15.75" thickTop="1">
      <c r="A72" s="115"/>
      <c r="B72" s="116" t="s">
        <v>122</v>
      </c>
      <c r="C72" s="118"/>
      <c r="D72" s="118"/>
      <c r="E72" s="81">
        <v>28.46216</v>
      </c>
      <c r="F72" s="81">
        <v>27.22838</v>
      </c>
      <c r="G72" s="119"/>
      <c r="H72" s="179">
        <f>E72-F72</f>
        <v>1.2337799999999994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62.042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137.31863</v>
      </c>
      <c r="D75" s="114"/>
      <c r="E75" s="112">
        <v>137.31863</v>
      </c>
      <c r="F75" s="323">
        <v>127.42677</v>
      </c>
      <c r="G75" s="180"/>
      <c r="H75" s="234">
        <f>E75-F75</f>
        <v>9.891860000000008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1005.3147999999987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440.2499999999989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562.7510199999998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2.3137799999999995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5">
    <tabColor theme="9" tint="0.39998000860214233"/>
  </sheetPr>
  <dimension ref="A1:H104"/>
  <sheetViews>
    <sheetView zoomScaleSheetLayoutView="80" zoomScalePageLayoutView="0" workbookViewId="0" topLeftCell="A1">
      <selection activeCell="E75" sqref="E75"/>
    </sheetView>
  </sheetViews>
  <sheetFormatPr defaultColWidth="9.140625" defaultRowHeight="15"/>
  <cols>
    <col min="1" max="1" width="8.57421875" style="187" customWidth="1"/>
    <col min="2" max="2" width="55.421875" style="140" customWidth="1"/>
    <col min="3" max="3" width="14.140625" style="140" customWidth="1"/>
    <col min="4" max="4" width="9.421875" style="140" customWidth="1"/>
    <col min="5" max="5" width="19.421875" style="140" customWidth="1"/>
    <col min="6" max="6" width="23.8515625" style="140" customWidth="1"/>
    <col min="7" max="7" width="19.28125" style="140" customWidth="1"/>
    <col min="8" max="8" width="18.281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Михайличенко</v>
      </c>
      <c r="E2" s="5"/>
      <c r="F2" s="5" t="s">
        <v>3</v>
      </c>
      <c r="G2" s="7">
        <f>D17</f>
        <v>6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164</v>
      </c>
      <c r="C17" s="31" t="s">
        <v>3</v>
      </c>
      <c r="D17" s="31">
        <v>6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1721.45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731.34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985.35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4.76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5920.408694717093</v>
      </c>
      <c r="D25" s="57">
        <v>0</v>
      </c>
      <c r="E25" s="58">
        <v>5398.211</v>
      </c>
      <c r="F25" s="58">
        <v>5335.57</v>
      </c>
      <c r="G25" s="157">
        <v>142.92755820000002</v>
      </c>
      <c r="H25" s="59">
        <f>E25-F25</f>
        <v>62.64100000000053</v>
      </c>
    </row>
    <row r="26" spans="1:8" s="143" customFormat="1" ht="18">
      <c r="A26" s="60" t="s">
        <v>36</v>
      </c>
      <c r="B26" s="61" t="s">
        <v>37</v>
      </c>
      <c r="C26" s="62">
        <v>301.88</v>
      </c>
      <c r="D26" s="62"/>
      <c r="E26" s="63">
        <v>1279.433</v>
      </c>
      <c r="F26" s="63">
        <v>1250.66</v>
      </c>
      <c r="G26" s="313">
        <v>34.6717098</v>
      </c>
      <c r="H26" s="64">
        <f>E26-F26</f>
        <v>28.77299999999991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5618.528694717093</v>
      </c>
      <c r="D50" s="62">
        <v>0</v>
      </c>
      <c r="E50" s="63">
        <v>4118.778</v>
      </c>
      <c r="F50" s="63">
        <v>4084.91</v>
      </c>
      <c r="G50" s="63">
        <v>108.2558484</v>
      </c>
      <c r="H50" s="64">
        <f aca="true" t="shared" si="0" ref="H50:H61">E50-F50</f>
        <v>33.86800000000039</v>
      </c>
    </row>
    <row r="51" spans="1:8" s="158" customFormat="1" ht="15">
      <c r="A51" s="77" t="s">
        <v>84</v>
      </c>
      <c r="B51" s="78" t="s">
        <v>85</v>
      </c>
      <c r="C51" s="79">
        <v>575.4826568186369</v>
      </c>
      <c r="D51" s="80"/>
      <c r="E51" s="73">
        <v>269.216</v>
      </c>
      <c r="F51" s="73">
        <v>267.31</v>
      </c>
      <c r="G51" s="81">
        <v>6.969085200000001</v>
      </c>
      <c r="H51" s="82">
        <f t="shared" si="0"/>
        <v>1.906000000000006</v>
      </c>
    </row>
    <row r="52" spans="1:8" s="158" customFormat="1" ht="15">
      <c r="A52" s="77" t="s">
        <v>86</v>
      </c>
      <c r="B52" s="78" t="s">
        <v>87</v>
      </c>
      <c r="C52" s="79">
        <v>368.0782990774151</v>
      </c>
      <c r="D52" s="80"/>
      <c r="E52" s="73">
        <v>351.994</v>
      </c>
      <c r="F52" s="73">
        <v>346.81</v>
      </c>
      <c r="G52" s="81">
        <v>9.6157026</v>
      </c>
      <c r="H52" s="82">
        <f t="shared" si="0"/>
        <v>5.184000000000026</v>
      </c>
    </row>
    <row r="53" spans="1:8" s="158" customFormat="1" ht="15">
      <c r="A53" s="77" t="s">
        <v>88</v>
      </c>
      <c r="B53" s="78" t="s">
        <v>89</v>
      </c>
      <c r="C53" s="79">
        <v>71.58597919452532</v>
      </c>
      <c r="D53" s="80"/>
      <c r="E53" s="73">
        <v>66.371</v>
      </c>
      <c r="F53" s="73">
        <v>65.63</v>
      </c>
      <c r="G53" s="81">
        <v>1.7882550000000001</v>
      </c>
      <c r="H53" s="82">
        <f t="shared" si="0"/>
        <v>0.7409999999999997</v>
      </c>
    </row>
    <row r="54" spans="1:8" s="158" customFormat="1" ht="15">
      <c r="A54" s="77" t="s">
        <v>90</v>
      </c>
      <c r="B54" s="78" t="s">
        <v>91</v>
      </c>
      <c r="C54" s="79">
        <v>329.7335730786442</v>
      </c>
      <c r="D54" s="80"/>
      <c r="E54" s="73">
        <v>282.639</v>
      </c>
      <c r="F54" s="73">
        <v>280.65</v>
      </c>
      <c r="G54" s="81">
        <v>7.316517600000001</v>
      </c>
      <c r="H54" s="82">
        <f t="shared" si="0"/>
        <v>1.9890000000000327</v>
      </c>
    </row>
    <row r="55" spans="1:8" s="158" customFormat="1" ht="30.75" customHeight="1">
      <c r="A55" s="77" t="s">
        <v>92</v>
      </c>
      <c r="B55" s="78" t="s">
        <v>93</v>
      </c>
      <c r="C55" s="79">
        <v>1709.8495739275822</v>
      </c>
      <c r="D55" s="80"/>
      <c r="E55" s="73">
        <v>1124.592</v>
      </c>
      <c r="F55" s="73">
        <v>1116.2</v>
      </c>
      <c r="G55" s="81">
        <v>29.235414600000006</v>
      </c>
      <c r="H55" s="82">
        <f t="shared" si="0"/>
        <v>8.392000000000053</v>
      </c>
    </row>
    <row r="56" spans="1:8" s="158" customFormat="1" ht="15">
      <c r="A56" s="77" t="s">
        <v>94</v>
      </c>
      <c r="B56" s="78" t="s">
        <v>95</v>
      </c>
      <c r="C56" s="79">
        <v>175.72076485489208</v>
      </c>
      <c r="D56" s="80"/>
      <c r="E56" s="73">
        <v>155.116</v>
      </c>
      <c r="F56" s="73">
        <v>153.66</v>
      </c>
      <c r="G56" s="81">
        <v>4.2305004</v>
      </c>
      <c r="H56" s="82">
        <f t="shared" si="0"/>
        <v>1.4560000000000173</v>
      </c>
    </row>
    <row r="57" spans="1:8" s="158" customFormat="1" ht="28.5">
      <c r="A57" s="77" t="s">
        <v>96</v>
      </c>
      <c r="B57" s="78" t="s">
        <v>97</v>
      </c>
      <c r="C57" s="79">
        <v>140.79008370111248</v>
      </c>
      <c r="D57" s="80"/>
      <c r="E57" s="73">
        <v>202.844</v>
      </c>
      <c r="F57" s="73">
        <v>201.15</v>
      </c>
      <c r="G57" s="81">
        <v>5.078644200000001</v>
      </c>
      <c r="H57" s="82">
        <f t="shared" si="0"/>
        <v>1.6939999999999884</v>
      </c>
    </row>
    <row r="58" spans="1:8" s="158" customFormat="1" ht="15">
      <c r="A58" s="77" t="s">
        <v>98</v>
      </c>
      <c r="B58" s="78" t="s">
        <v>99</v>
      </c>
      <c r="C58" s="79">
        <v>489.854405988651</v>
      </c>
      <c r="D58" s="80"/>
      <c r="E58" s="73">
        <v>378.841</v>
      </c>
      <c r="F58" s="73">
        <v>376.16</v>
      </c>
      <c r="G58" s="81">
        <v>9.973353600000001</v>
      </c>
      <c r="H58" s="82">
        <f t="shared" si="0"/>
        <v>2.680999999999983</v>
      </c>
    </row>
    <row r="59" spans="1:8" s="158" customFormat="1" ht="15">
      <c r="A59" s="77" t="s">
        <v>100</v>
      </c>
      <c r="B59" s="78" t="s">
        <v>101</v>
      </c>
      <c r="C59" s="79">
        <v>1754.724991513409</v>
      </c>
      <c r="D59" s="80"/>
      <c r="E59" s="73">
        <v>1284.182</v>
      </c>
      <c r="F59" s="73">
        <v>1274.67</v>
      </c>
      <c r="G59" s="81">
        <v>33.976845000000004</v>
      </c>
      <c r="H59" s="82">
        <f t="shared" si="0"/>
        <v>9.511999999999944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2.708366562224247</v>
      </c>
      <c r="D61" s="80"/>
      <c r="E61" s="73">
        <v>2.983</v>
      </c>
      <c r="F61" s="73">
        <v>2.67</v>
      </c>
      <c r="G61" s="81">
        <v>0.07153020000000002</v>
      </c>
      <c r="H61" s="82">
        <f t="shared" si="0"/>
        <v>0.31300000000000017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983.4517098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7590.649493959824</v>
      </c>
      <c r="D64" s="114"/>
      <c r="E64" s="112">
        <v>7312.750738999999</v>
      </c>
      <c r="F64" s="112">
        <v>7360.623372999999</v>
      </c>
      <c r="G64" s="112">
        <v>62.8035156</v>
      </c>
      <c r="H64" s="235">
        <f>E64-F64</f>
        <v>-47.87263400000029</v>
      </c>
    </row>
    <row r="65" spans="1:8" ht="15.75" thickTop="1">
      <c r="A65" s="176"/>
      <c r="B65" s="170" t="s">
        <v>113</v>
      </c>
      <c r="C65" s="171">
        <v>2963.2594007986504</v>
      </c>
      <c r="D65" s="171"/>
      <c r="E65" s="163">
        <v>2349.91115</v>
      </c>
      <c r="F65" s="163">
        <v>2321.823</v>
      </c>
      <c r="G65" s="172">
        <v>62.8035156</v>
      </c>
      <c r="H65" s="226">
        <f>E65-F65</f>
        <v>28.08815000000004</v>
      </c>
    </row>
    <row r="66" spans="1:8" ht="15">
      <c r="A66" s="115"/>
      <c r="B66" s="116" t="s">
        <v>114</v>
      </c>
      <c r="C66" s="103">
        <v>1228.270017187814</v>
      </c>
      <c r="D66" s="103"/>
      <c r="E66" s="81">
        <v>1325.20408</v>
      </c>
      <c r="F66" s="81">
        <v>1305.002</v>
      </c>
      <c r="G66" s="81"/>
      <c r="H66" s="179">
        <f>E66-F66</f>
        <v>20.202080000000024</v>
      </c>
    </row>
    <row r="67" spans="1:8" ht="15">
      <c r="A67" s="115"/>
      <c r="B67" s="116" t="s">
        <v>115</v>
      </c>
      <c r="C67" s="103">
        <v>1059.377653557273</v>
      </c>
      <c r="D67" s="103"/>
      <c r="E67" s="81">
        <v>1171.22393</v>
      </c>
      <c r="F67" s="81">
        <v>1159.416</v>
      </c>
      <c r="G67" s="81"/>
      <c r="H67" s="179">
        <f>E67-F67</f>
        <v>11.80793000000017</v>
      </c>
    </row>
    <row r="68" spans="1:8" ht="15">
      <c r="A68" s="115"/>
      <c r="B68" s="116" t="s">
        <v>116</v>
      </c>
      <c r="C68" s="103">
        <v>1419.1321387031599</v>
      </c>
      <c r="D68" s="103"/>
      <c r="E68" s="81">
        <v>1559.40841</v>
      </c>
      <c r="F68" s="81">
        <v>1541.212</v>
      </c>
      <c r="G68" s="81"/>
      <c r="H68" s="179">
        <f>E68-F68</f>
        <v>18.196410000000014</v>
      </c>
    </row>
    <row r="69" spans="1:8" ht="15.75" thickBot="1">
      <c r="A69" s="318"/>
      <c r="B69" s="174" t="s">
        <v>117</v>
      </c>
      <c r="C69" s="103">
        <v>920.6102837129265</v>
      </c>
      <c r="D69" s="103"/>
      <c r="E69" s="88">
        <v>907.003169</v>
      </c>
      <c r="F69" s="88">
        <v>1033.170373</v>
      </c>
      <c r="G69" s="88"/>
      <c r="H69" s="232">
        <f>-63.12117+2.70059</f>
        <v>-60.42058</v>
      </c>
    </row>
    <row r="70" spans="1:8" ht="19.5" thickBot="1" thickTop="1">
      <c r="A70" s="165" t="s">
        <v>118</v>
      </c>
      <c r="B70" s="234" t="s">
        <v>119</v>
      </c>
      <c r="C70" s="114">
        <v>13511.058188676918</v>
      </c>
      <c r="D70" s="114"/>
      <c r="E70" s="112">
        <v>12710.961738999998</v>
      </c>
      <c r="F70" s="112">
        <v>12696.193372999998</v>
      </c>
      <c r="G70" s="112">
        <v>205.73107380000002</v>
      </c>
      <c r="H70" s="235">
        <f>H25+H64</f>
        <v>14.768366000000242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31.7943</v>
      </c>
      <c r="F71" s="112">
        <v>33.92531</v>
      </c>
      <c r="G71" s="112">
        <v>0</v>
      </c>
      <c r="H71" s="235">
        <f>E71-F71</f>
        <v>-2.1310100000000034</v>
      </c>
    </row>
    <row r="72" spans="1:8" ht="15.75" thickTop="1">
      <c r="A72" s="115"/>
      <c r="B72" s="116" t="s">
        <v>122</v>
      </c>
      <c r="C72" s="118"/>
      <c r="D72" s="118"/>
      <c r="E72" s="81">
        <v>31.7943</v>
      </c>
      <c r="F72" s="81">
        <v>33.92531</v>
      </c>
      <c r="G72" s="119"/>
      <c r="H72" s="179">
        <f>E72-F72</f>
        <v>-2.1310100000000034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100.127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36.762429999999995</v>
      </c>
      <c r="D75" s="114"/>
      <c r="E75" s="323">
        <v>36.762429999999995</v>
      </c>
      <c r="F75" s="323">
        <v>36.762429999999995</v>
      </c>
      <c r="G75" s="180"/>
      <c r="H75" s="234">
        <f>E75-F75</f>
        <v>0</v>
      </c>
    </row>
    <row r="76" spans="1:8" ht="24.7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1734.0873560000002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793.9810000000006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937.4773659999997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2.6289899999999964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6">
    <tabColor theme="9" tint="0.39998000860214233"/>
  </sheetPr>
  <dimension ref="A1:H104"/>
  <sheetViews>
    <sheetView zoomScaleSheetLayoutView="80" zoomScalePageLayoutView="0" workbookViewId="0" topLeftCell="A1">
      <selection activeCell="E75" sqref="E75"/>
    </sheetView>
  </sheetViews>
  <sheetFormatPr defaultColWidth="9.140625" defaultRowHeight="15"/>
  <cols>
    <col min="1" max="1" width="8.57421875" style="187" customWidth="1"/>
    <col min="2" max="2" width="56.00390625" style="140" customWidth="1"/>
    <col min="3" max="3" width="15.28125" style="140" customWidth="1"/>
    <col min="4" max="4" width="9.57421875" style="140" customWidth="1"/>
    <col min="5" max="5" width="18.421875" style="140" customWidth="1"/>
    <col min="6" max="6" width="23.8515625" style="140" customWidth="1"/>
    <col min="7" max="7" width="19.421875" style="140" customWidth="1"/>
    <col min="8" max="8" width="17.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Молодежный</v>
      </c>
      <c r="E2" s="5"/>
      <c r="F2" s="5" t="s">
        <v>3</v>
      </c>
      <c r="G2" s="7">
        <f>D17</f>
        <v>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160</v>
      </c>
      <c r="B17" s="32" t="s">
        <v>165</v>
      </c>
      <c r="C17" s="31" t="s">
        <v>3</v>
      </c>
      <c r="D17" s="31">
        <v>1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3017.5899999999997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1383.62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1628.86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5.11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6420.970858757677</v>
      </c>
      <c r="D25" s="57">
        <v>0</v>
      </c>
      <c r="E25" s="58">
        <v>5616.532999999999</v>
      </c>
      <c r="F25" s="58">
        <v>5413.57</v>
      </c>
      <c r="G25" s="157">
        <v>63.2855802</v>
      </c>
      <c r="H25" s="59">
        <f>E25-F25</f>
        <v>202.96299999999974</v>
      </c>
    </row>
    <row r="26" spans="1:8" s="143" customFormat="1" ht="18">
      <c r="A26" s="60" t="s">
        <v>36</v>
      </c>
      <c r="B26" s="61" t="s">
        <v>37</v>
      </c>
      <c r="C26" s="62">
        <v>682.12</v>
      </c>
      <c r="D26" s="62"/>
      <c r="E26" s="63">
        <v>1347.167</v>
      </c>
      <c r="F26" s="63">
        <v>1299.79</v>
      </c>
      <c r="G26" s="313">
        <v>15.351967799999999</v>
      </c>
      <c r="H26" s="64">
        <f>E26-F26</f>
        <v>47.37699999999995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5738.850858757677</v>
      </c>
      <c r="D50" s="62">
        <v>0</v>
      </c>
      <c r="E50" s="63">
        <v>4269.366</v>
      </c>
      <c r="F50" s="63">
        <v>4113.78</v>
      </c>
      <c r="G50" s="63">
        <v>47.9336124</v>
      </c>
      <c r="H50" s="64">
        <f aca="true" t="shared" si="0" ref="H50:H61">E50-F50</f>
        <v>155.58600000000024</v>
      </c>
    </row>
    <row r="51" spans="1:8" s="158" customFormat="1" ht="15">
      <c r="A51" s="77" t="s">
        <v>84</v>
      </c>
      <c r="B51" s="78" t="s">
        <v>85</v>
      </c>
      <c r="C51" s="79">
        <v>588.0237136980294</v>
      </c>
      <c r="D51" s="80"/>
      <c r="E51" s="73">
        <v>279.118</v>
      </c>
      <c r="F51" s="73">
        <v>269.05</v>
      </c>
      <c r="G51" s="81">
        <v>3.0857772</v>
      </c>
      <c r="H51" s="82">
        <f t="shared" si="0"/>
        <v>10.067999999999984</v>
      </c>
    </row>
    <row r="52" spans="1:8" s="158" customFormat="1" ht="15">
      <c r="A52" s="77" t="s">
        <v>86</v>
      </c>
      <c r="B52" s="78" t="s">
        <v>87</v>
      </c>
      <c r="C52" s="79">
        <v>374.8767203189747</v>
      </c>
      <c r="D52" s="80"/>
      <c r="E52" s="73">
        <v>364.031</v>
      </c>
      <c r="F52" s="73">
        <v>351.34</v>
      </c>
      <c r="G52" s="81">
        <v>4.2576486</v>
      </c>
      <c r="H52" s="82">
        <f t="shared" si="0"/>
        <v>12.691000000000031</v>
      </c>
    </row>
    <row r="53" spans="1:8" s="158" customFormat="1" ht="15">
      <c r="A53" s="77" t="s">
        <v>88</v>
      </c>
      <c r="B53" s="78" t="s">
        <v>89</v>
      </c>
      <c r="C53" s="79">
        <v>73.10315431983224</v>
      </c>
      <c r="D53" s="80"/>
      <c r="E53" s="73">
        <v>68.812</v>
      </c>
      <c r="F53" s="73">
        <v>66.05</v>
      </c>
      <c r="G53" s="81">
        <v>0.7918049999999999</v>
      </c>
      <c r="H53" s="82">
        <f t="shared" si="0"/>
        <v>2.7620000000000005</v>
      </c>
    </row>
    <row r="54" spans="1:8" s="158" customFormat="1" ht="15">
      <c r="A54" s="77" t="s">
        <v>90</v>
      </c>
      <c r="B54" s="78" t="s">
        <v>91</v>
      </c>
      <c r="C54" s="79">
        <v>336.9195653299845</v>
      </c>
      <c r="D54" s="80"/>
      <c r="E54" s="73">
        <v>293.035</v>
      </c>
      <c r="F54" s="73">
        <v>282.05</v>
      </c>
      <c r="G54" s="81">
        <v>3.2396135999999998</v>
      </c>
      <c r="H54" s="82">
        <f t="shared" si="0"/>
        <v>10.985000000000014</v>
      </c>
    </row>
    <row r="55" spans="1:8" s="158" customFormat="1" ht="31.5" customHeight="1">
      <c r="A55" s="77" t="s">
        <v>92</v>
      </c>
      <c r="B55" s="78" t="s">
        <v>93</v>
      </c>
      <c r="C55" s="79">
        <v>1747.0072670661395</v>
      </c>
      <c r="D55" s="80"/>
      <c r="E55" s="73">
        <v>1165.957</v>
      </c>
      <c r="F55" s="73">
        <v>1123.85</v>
      </c>
      <c r="G55" s="81">
        <v>12.9448806</v>
      </c>
      <c r="H55" s="82">
        <f t="shared" si="0"/>
        <v>42.1070000000002</v>
      </c>
    </row>
    <row r="56" spans="1:8" s="158" customFormat="1" ht="15">
      <c r="A56" s="77" t="s">
        <v>94</v>
      </c>
      <c r="B56" s="78" t="s">
        <v>95</v>
      </c>
      <c r="C56" s="79">
        <v>179.41245304067468</v>
      </c>
      <c r="D56" s="80"/>
      <c r="E56" s="73">
        <v>160.821</v>
      </c>
      <c r="F56" s="73">
        <v>154.83</v>
      </c>
      <c r="G56" s="81">
        <v>1.8731844000000002</v>
      </c>
      <c r="H56" s="82">
        <f t="shared" si="0"/>
        <v>5.9909999999999854</v>
      </c>
    </row>
    <row r="57" spans="1:8" s="158" customFormat="1" ht="15">
      <c r="A57" s="77" t="s">
        <v>96</v>
      </c>
      <c r="B57" s="78" t="s">
        <v>97</v>
      </c>
      <c r="C57" s="79">
        <v>143.92591541831374</v>
      </c>
      <c r="D57" s="80"/>
      <c r="E57" s="73">
        <v>210.305</v>
      </c>
      <c r="F57" s="73">
        <v>202.47</v>
      </c>
      <c r="G57" s="81">
        <v>2.2487262</v>
      </c>
      <c r="H57" s="82">
        <f t="shared" si="0"/>
        <v>7.835000000000008</v>
      </c>
    </row>
    <row r="58" spans="1:8" s="158" customFormat="1" ht="15">
      <c r="A58" s="77" t="s">
        <v>98</v>
      </c>
      <c r="B58" s="78" t="s">
        <v>99</v>
      </c>
      <c r="C58" s="79">
        <v>500.40913902630825</v>
      </c>
      <c r="D58" s="80"/>
      <c r="E58" s="73">
        <v>392.776</v>
      </c>
      <c r="F58" s="73">
        <v>378.41</v>
      </c>
      <c r="G58" s="81">
        <v>4.4160096</v>
      </c>
      <c r="H58" s="82">
        <f t="shared" si="0"/>
        <v>14.365999999999985</v>
      </c>
    </row>
    <row r="59" spans="1:8" s="158" customFormat="1" ht="15">
      <c r="A59" s="77" t="s">
        <v>100</v>
      </c>
      <c r="B59" s="78" t="s">
        <v>101</v>
      </c>
      <c r="C59" s="79">
        <v>1792.4023710260806</v>
      </c>
      <c r="D59" s="80"/>
      <c r="E59" s="73">
        <v>1331.418</v>
      </c>
      <c r="F59" s="73">
        <v>1283.02</v>
      </c>
      <c r="G59" s="81">
        <v>15.044294999999998</v>
      </c>
      <c r="H59" s="82">
        <f t="shared" si="0"/>
        <v>48.39799999999991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2.77055951333913</v>
      </c>
      <c r="D61" s="80"/>
      <c r="E61" s="73">
        <v>3.093</v>
      </c>
      <c r="F61" s="73">
        <v>2.71</v>
      </c>
      <c r="G61" s="81">
        <v>0.0316722</v>
      </c>
      <c r="H61" s="82">
        <f t="shared" si="0"/>
        <v>0.383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633.0219678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8137.384123623999</v>
      </c>
      <c r="D64" s="114"/>
      <c r="E64" s="112">
        <v>8014.789484</v>
      </c>
      <c r="F64" s="112">
        <v>7805.13091</v>
      </c>
      <c r="G64" s="112">
        <v>27.808191599999997</v>
      </c>
      <c r="H64" s="235">
        <f>E64-F64</f>
        <v>209.65857400000004</v>
      </c>
    </row>
    <row r="65" spans="1:8" ht="15.75" thickTop="1">
      <c r="A65" s="176"/>
      <c r="B65" s="170" t="s">
        <v>113</v>
      </c>
      <c r="C65" s="171">
        <v>2952.676331510084</v>
      </c>
      <c r="D65" s="171"/>
      <c r="E65" s="163">
        <v>2440.69653</v>
      </c>
      <c r="F65" s="163">
        <v>2352.678</v>
      </c>
      <c r="G65" s="172">
        <v>27.808191599999997</v>
      </c>
      <c r="H65" s="226">
        <f>E65-F65</f>
        <v>88.01853000000028</v>
      </c>
    </row>
    <row r="66" spans="1:8" ht="15">
      <c r="A66" s="115"/>
      <c r="B66" s="116" t="s">
        <v>114</v>
      </c>
      <c r="C66" s="103">
        <v>1413.3176682679195</v>
      </c>
      <c r="D66" s="103"/>
      <c r="E66" s="81">
        <v>1524.85554</v>
      </c>
      <c r="F66" s="81">
        <v>1490.746</v>
      </c>
      <c r="G66" s="81"/>
      <c r="H66" s="179">
        <f>E66-F66</f>
        <v>34.109539999999924</v>
      </c>
    </row>
    <row r="67" spans="1:8" ht="15">
      <c r="A67" s="115"/>
      <c r="B67" s="116" t="s">
        <v>115</v>
      </c>
      <c r="C67" s="103">
        <v>1220.7149777623226</v>
      </c>
      <c r="D67" s="103"/>
      <c r="E67" s="81">
        <v>1349.59482</v>
      </c>
      <c r="F67" s="81">
        <v>1320.244</v>
      </c>
      <c r="G67" s="81"/>
      <c r="H67" s="179">
        <f>E67-F67</f>
        <v>29.350820000000112</v>
      </c>
    </row>
    <row r="68" spans="1:8" ht="15">
      <c r="A68" s="115"/>
      <c r="B68" s="116" t="s">
        <v>116</v>
      </c>
      <c r="C68" s="103">
        <v>1642.8111747168628</v>
      </c>
      <c r="D68" s="103"/>
      <c r="E68" s="81">
        <v>1805.19734</v>
      </c>
      <c r="F68" s="81">
        <v>1762.791</v>
      </c>
      <c r="G68" s="81"/>
      <c r="H68" s="179">
        <f>E68-F68</f>
        <v>42.40634</v>
      </c>
    </row>
    <row r="69" spans="1:8" ht="15.75" thickBot="1">
      <c r="A69" s="318"/>
      <c r="B69" s="174" t="s">
        <v>117</v>
      </c>
      <c r="C69" s="103">
        <v>907.8639713668085</v>
      </c>
      <c r="D69" s="103"/>
      <c r="E69" s="88">
        <v>894.445254</v>
      </c>
      <c r="F69" s="88">
        <v>878.67191</v>
      </c>
      <c r="G69" s="88"/>
      <c r="H69" s="232">
        <f>77.95390704-3.24315</f>
        <v>74.71075704</v>
      </c>
    </row>
    <row r="70" spans="1:8" ht="19.5" thickBot="1" thickTop="1">
      <c r="A70" s="165" t="s">
        <v>118</v>
      </c>
      <c r="B70" s="234" t="s">
        <v>119</v>
      </c>
      <c r="C70" s="114">
        <v>14558.354982381676</v>
      </c>
      <c r="D70" s="114"/>
      <c r="E70" s="112">
        <v>13631.322484</v>
      </c>
      <c r="F70" s="112">
        <v>13218.70091</v>
      </c>
      <c r="G70" s="112">
        <v>91.0937718</v>
      </c>
      <c r="H70" s="235">
        <f>H25+H64</f>
        <v>412.6215739999998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39.37585</v>
      </c>
      <c r="F71" s="112">
        <v>38.01797</v>
      </c>
      <c r="G71" s="112">
        <v>0</v>
      </c>
      <c r="H71" s="235">
        <f>E71-F71</f>
        <v>1.3578800000000015</v>
      </c>
    </row>
    <row r="72" spans="1:8" ht="15.75" thickTop="1">
      <c r="A72" s="115"/>
      <c r="B72" s="116" t="s">
        <v>122</v>
      </c>
      <c r="C72" s="118"/>
      <c r="D72" s="118"/>
      <c r="E72" s="81">
        <v>39.37585</v>
      </c>
      <c r="F72" s="81">
        <v>38.01797</v>
      </c>
      <c r="G72" s="119"/>
      <c r="H72" s="179">
        <f>E72-F72</f>
        <v>1.3578800000000015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128.004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45.59504</v>
      </c>
      <c r="D75" s="114"/>
      <c r="E75" s="323">
        <v>45.59504</v>
      </c>
      <c r="F75" s="323">
        <v>44.45668</v>
      </c>
      <c r="G75" s="180"/>
      <c r="H75" s="234">
        <f>E75-F75</f>
        <v>1.1383599999999987</v>
      </c>
    </row>
    <row r="76" spans="1:8" ht="24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3431.5694539999995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1586.5829999999996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1838.518574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6.467880000000002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7">
    <tabColor theme="9" tint="0.39998000860214233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282" customWidth="1"/>
    <col min="2" max="2" width="56.421875" style="249" customWidth="1"/>
    <col min="3" max="3" width="15.28125" style="249" customWidth="1"/>
    <col min="4" max="4" width="7.8515625" style="249" customWidth="1"/>
    <col min="5" max="5" width="18.421875" style="249" customWidth="1"/>
    <col min="6" max="6" width="23.8515625" style="249" customWidth="1"/>
    <col min="7" max="7" width="19.421875" style="249" customWidth="1"/>
    <col min="8" max="8" width="14.57421875" style="249" hidden="1" customWidth="1"/>
    <col min="9" max="16384" width="9.140625" style="249" customWidth="1"/>
  </cols>
  <sheetData>
    <row r="1" spans="1:8" ht="18">
      <c r="A1" s="292" t="s">
        <v>0</v>
      </c>
      <c r="B1" s="292"/>
      <c r="C1" s="292"/>
      <c r="D1" s="292"/>
      <c r="E1" s="292"/>
      <c r="F1" s="292"/>
      <c r="G1" s="292"/>
      <c r="H1" s="292"/>
    </row>
    <row r="2" spans="1:8" s="250" customFormat="1" ht="15.75">
      <c r="A2" s="293"/>
      <c r="B2" s="294" t="s">
        <v>1</v>
      </c>
      <c r="C2" s="295" t="s">
        <v>2</v>
      </c>
      <c r="D2" s="295" t="str">
        <f>B17</f>
        <v>Молодежный</v>
      </c>
      <c r="E2" s="295"/>
      <c r="F2" s="295" t="s">
        <v>3</v>
      </c>
      <c r="G2" s="296">
        <f>D17</f>
        <v>5</v>
      </c>
      <c r="H2" s="295"/>
    </row>
    <row r="3" spans="1:8" ht="35.25" customHeight="1">
      <c r="A3" s="297" t="s">
        <v>135</v>
      </c>
      <c r="B3" s="297"/>
      <c r="C3" s="297"/>
      <c r="D3" s="297"/>
      <c r="E3" s="297"/>
      <c r="F3" s="297"/>
      <c r="G3" s="297"/>
      <c r="H3" s="297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251" t="s">
        <v>138</v>
      </c>
      <c r="B14" s="251"/>
      <c r="C14" s="251"/>
      <c r="D14" s="251"/>
      <c r="E14" s="251"/>
      <c r="F14" s="251"/>
      <c r="G14" s="251"/>
      <c r="H14" s="251"/>
    </row>
    <row r="15" spans="1:8" ht="20.25" collapsed="1">
      <c r="A15" s="298" t="s">
        <v>14</v>
      </c>
      <c r="B15" s="298"/>
      <c r="C15" s="298"/>
      <c r="D15" s="298"/>
      <c r="E15" s="298"/>
      <c r="F15" s="298"/>
      <c r="G15" s="298"/>
      <c r="H15" s="298"/>
    </row>
    <row r="16" spans="1:8" s="252" customFormat="1" ht="18" customHeight="1">
      <c r="A16" s="299" t="s">
        <v>15</v>
      </c>
      <c r="B16" s="299"/>
      <c r="C16" s="299"/>
      <c r="D16" s="299"/>
      <c r="E16" s="299"/>
      <c r="F16" s="299"/>
      <c r="G16" s="299"/>
      <c r="H16" s="299"/>
    </row>
    <row r="17" spans="1:8" s="254" customFormat="1" ht="18">
      <c r="A17" s="300" t="s">
        <v>160</v>
      </c>
      <c r="B17" s="301" t="s">
        <v>165</v>
      </c>
      <c r="C17" s="300" t="s">
        <v>3</v>
      </c>
      <c r="D17" s="300">
        <v>5</v>
      </c>
      <c r="E17" s="300" t="s">
        <v>18</v>
      </c>
      <c r="F17" s="300"/>
      <c r="G17" s="300"/>
      <c r="H17" s="302"/>
    </row>
    <row r="18" spans="1:8" s="250" customFormat="1" ht="10.5" customHeight="1">
      <c r="A18" s="303"/>
      <c r="B18" s="304"/>
      <c r="C18" s="305"/>
      <c r="D18" s="305"/>
      <c r="E18" s="305"/>
      <c r="F18" s="305"/>
      <c r="G18" s="305"/>
      <c r="H18" s="305"/>
    </row>
    <row r="19" spans="1:8" s="250" customFormat="1" ht="18">
      <c r="A19" s="303"/>
      <c r="B19" s="301" t="s">
        <v>19</v>
      </c>
      <c r="C19" s="305"/>
      <c r="D19" s="305"/>
      <c r="E19" s="306">
        <f>E20+E21+E22</f>
        <v>4449.81</v>
      </c>
      <c r="F19" s="307" t="s">
        <v>20</v>
      </c>
      <c r="G19" s="305"/>
      <c r="H19" s="305"/>
    </row>
    <row r="20" spans="1:8" s="250" customFormat="1" ht="18">
      <c r="A20" s="303"/>
      <c r="B20" s="305" t="s">
        <v>21</v>
      </c>
      <c r="C20" s="305"/>
      <c r="D20" s="305"/>
      <c r="E20" s="146">
        <v>1876.23</v>
      </c>
      <c r="F20" s="305" t="s">
        <v>20</v>
      </c>
      <c r="G20" s="305"/>
      <c r="H20" s="305"/>
    </row>
    <row r="21" spans="1:8" s="250" customFormat="1" ht="18">
      <c r="A21" s="308"/>
      <c r="B21" s="305" t="s">
        <v>22</v>
      </c>
      <c r="C21" s="305"/>
      <c r="D21" s="305"/>
      <c r="E21" s="146">
        <v>2566.04</v>
      </c>
      <c r="F21" s="305" t="s">
        <v>20</v>
      </c>
      <c r="G21" s="305"/>
      <c r="H21" s="305"/>
    </row>
    <row r="22" spans="1:8" s="252" customFormat="1" ht="18">
      <c r="A22" s="309"/>
      <c r="B22" s="305" t="s">
        <v>23</v>
      </c>
      <c r="C22" s="310"/>
      <c r="D22" s="310"/>
      <c r="E22" s="146">
        <v>7.54</v>
      </c>
      <c r="F22" s="305" t="s">
        <v>20</v>
      </c>
      <c r="G22" s="311"/>
      <c r="H22" s="311"/>
    </row>
    <row r="23" spans="1:8" s="25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252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312" customFormat="1" ht="21.75" customHeight="1">
      <c r="A25" s="55" t="s">
        <v>34</v>
      </c>
      <c r="B25" s="56" t="s">
        <v>35</v>
      </c>
      <c r="C25" s="57">
        <v>6034.218671255307</v>
      </c>
      <c r="D25" s="57">
        <v>0</v>
      </c>
      <c r="E25" s="58">
        <v>5599.098999999999</v>
      </c>
      <c r="F25" s="58">
        <v>5470.869999999999</v>
      </c>
      <c r="G25" s="157">
        <v>61.48125720000001</v>
      </c>
      <c r="H25" s="59">
        <f>E25-F25</f>
        <v>128.22900000000027</v>
      </c>
    </row>
    <row r="26" spans="1:8" s="252" customFormat="1" ht="18">
      <c r="A26" s="60" t="s">
        <v>36</v>
      </c>
      <c r="B26" s="61" t="s">
        <v>37</v>
      </c>
      <c r="C26" s="62">
        <v>302.98</v>
      </c>
      <c r="D26" s="62"/>
      <c r="E26" s="63">
        <v>1334.53</v>
      </c>
      <c r="F26" s="63">
        <v>1313.56</v>
      </c>
      <c r="G26" s="313">
        <v>14.914270800000002</v>
      </c>
      <c r="H26" s="64">
        <f>E26-F26</f>
        <v>20.970000000000027</v>
      </c>
    </row>
    <row r="27" spans="1:8" s="252" customFormat="1" ht="39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252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252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252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252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252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252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252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252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252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252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252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252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252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252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252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252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252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252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252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252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266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266" customFormat="1" ht="18">
      <c r="A50" s="75" t="s">
        <v>82</v>
      </c>
      <c r="B50" s="76" t="s">
        <v>83</v>
      </c>
      <c r="C50" s="62">
        <v>5731.238671255306</v>
      </c>
      <c r="D50" s="62">
        <v>0</v>
      </c>
      <c r="E50" s="63">
        <v>4264.5689999999995</v>
      </c>
      <c r="F50" s="63">
        <v>4157.3099999999995</v>
      </c>
      <c r="G50" s="63">
        <v>46.56698640000001</v>
      </c>
      <c r="H50" s="64">
        <f aca="true" t="shared" si="0" ref="H50:H61">E50-F50</f>
        <v>107.25900000000001</v>
      </c>
    </row>
    <row r="51" spans="1:8" s="266" customFormat="1" ht="15">
      <c r="A51" s="77" t="s">
        <v>84</v>
      </c>
      <c r="B51" s="78" t="s">
        <v>85</v>
      </c>
      <c r="C51" s="79">
        <v>587.4403278023931</v>
      </c>
      <c r="D51" s="80"/>
      <c r="E51" s="73">
        <v>278.926</v>
      </c>
      <c r="F51" s="73">
        <v>271.9</v>
      </c>
      <c r="G51" s="81">
        <v>2.9977992</v>
      </c>
      <c r="H51" s="82">
        <f t="shared" si="0"/>
        <v>7.0260000000000105</v>
      </c>
    </row>
    <row r="52" spans="1:8" s="266" customFormat="1" ht="15">
      <c r="A52" s="77" t="s">
        <v>86</v>
      </c>
      <c r="B52" s="78" t="s">
        <v>87</v>
      </c>
      <c r="C52" s="79">
        <v>372.60439759065446</v>
      </c>
      <c r="D52" s="80"/>
      <c r="E52" s="73">
        <v>361.92</v>
      </c>
      <c r="F52" s="73">
        <v>355.06</v>
      </c>
      <c r="G52" s="81">
        <v>4.136259600000001</v>
      </c>
      <c r="H52" s="82">
        <f t="shared" si="0"/>
        <v>6.860000000000014</v>
      </c>
    </row>
    <row r="53" spans="1:8" s="266" customFormat="1" ht="15">
      <c r="A53" s="77" t="s">
        <v>88</v>
      </c>
      <c r="B53" s="78" t="s">
        <v>89</v>
      </c>
      <c r="C53" s="79">
        <v>73.03008141869124</v>
      </c>
      <c r="D53" s="80"/>
      <c r="E53" s="73">
        <v>68.765</v>
      </c>
      <c r="F53" s="73">
        <v>66.74</v>
      </c>
      <c r="G53" s="81">
        <v>0.7692300000000001</v>
      </c>
      <c r="H53" s="82">
        <f t="shared" si="0"/>
        <v>2.0250000000000057</v>
      </c>
    </row>
    <row r="54" spans="1:8" s="266" customFormat="1" ht="15">
      <c r="A54" s="77" t="s">
        <v>90</v>
      </c>
      <c r="B54" s="78" t="s">
        <v>91</v>
      </c>
      <c r="C54" s="79">
        <v>336.58595567587855</v>
      </c>
      <c r="D54" s="80"/>
      <c r="E54" s="73">
        <v>292.834</v>
      </c>
      <c r="F54" s="73">
        <v>285.03</v>
      </c>
      <c r="G54" s="81">
        <v>3.1472496000000003</v>
      </c>
      <c r="H54" s="82">
        <f t="shared" si="0"/>
        <v>7.8040000000000305</v>
      </c>
    </row>
    <row r="55" spans="1:8" s="266" customFormat="1" ht="30" customHeight="1">
      <c r="A55" s="77" t="s">
        <v>92</v>
      </c>
      <c r="B55" s="78" t="s">
        <v>93</v>
      </c>
      <c r="C55" s="79">
        <v>1745.271867295469</v>
      </c>
      <c r="D55" s="80"/>
      <c r="E55" s="73">
        <v>1165.155</v>
      </c>
      <c r="F55" s="73">
        <v>1135.75</v>
      </c>
      <c r="G55" s="81">
        <v>12.575811600000002</v>
      </c>
      <c r="H55" s="82">
        <f t="shared" si="0"/>
        <v>29.404999999999973</v>
      </c>
    </row>
    <row r="56" spans="1:8" s="266" customFormat="1" ht="15">
      <c r="A56" s="77" t="s">
        <v>94</v>
      </c>
      <c r="B56" s="78" t="s">
        <v>95</v>
      </c>
      <c r="C56" s="79">
        <v>179.23225562667562</v>
      </c>
      <c r="D56" s="80"/>
      <c r="E56" s="73">
        <v>160.711</v>
      </c>
      <c r="F56" s="73">
        <v>156.47</v>
      </c>
      <c r="G56" s="81">
        <v>1.8197784000000006</v>
      </c>
      <c r="H56" s="82">
        <f t="shared" si="0"/>
        <v>4.241000000000014</v>
      </c>
    </row>
    <row r="57" spans="1:8" s="266" customFormat="1" ht="15">
      <c r="A57" s="77" t="s">
        <v>96</v>
      </c>
      <c r="B57" s="78" t="s">
        <v>97</v>
      </c>
      <c r="C57" s="79">
        <v>143.78431931228948</v>
      </c>
      <c r="D57" s="80"/>
      <c r="E57" s="73">
        <v>210.16</v>
      </c>
      <c r="F57" s="73">
        <v>204.61</v>
      </c>
      <c r="G57" s="81">
        <v>2.1846132000000003</v>
      </c>
      <c r="H57" s="82">
        <f t="shared" si="0"/>
        <v>5.549999999999983</v>
      </c>
    </row>
    <row r="58" spans="1:8" s="266" customFormat="1" ht="15">
      <c r="A58" s="77" t="s">
        <v>98</v>
      </c>
      <c r="B58" s="78" t="s">
        <v>99</v>
      </c>
      <c r="C58" s="79">
        <v>499.9103526081812</v>
      </c>
      <c r="D58" s="80"/>
      <c r="E58" s="73">
        <v>392.506</v>
      </c>
      <c r="F58" s="73">
        <v>382.41</v>
      </c>
      <c r="G58" s="81">
        <v>4.2901056</v>
      </c>
      <c r="H58" s="82">
        <f t="shared" si="0"/>
        <v>10.095999999999947</v>
      </c>
    </row>
    <row r="59" spans="1:8" s="266" customFormat="1" ht="15">
      <c r="A59" s="77" t="s">
        <v>100</v>
      </c>
      <c r="B59" s="78" t="s">
        <v>101</v>
      </c>
      <c r="C59" s="79">
        <v>1790.6120150927552</v>
      </c>
      <c r="D59" s="80"/>
      <c r="E59" s="73">
        <v>1330.502</v>
      </c>
      <c r="F59" s="73">
        <v>1296.6</v>
      </c>
      <c r="G59" s="81">
        <v>14.615370000000002</v>
      </c>
      <c r="H59" s="82">
        <f t="shared" si="0"/>
        <v>33.902000000000044</v>
      </c>
    </row>
    <row r="60" spans="1:8" s="266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266" customFormat="1" ht="28.5">
      <c r="A61" s="77" t="s">
        <v>104</v>
      </c>
      <c r="B61" s="78" t="s">
        <v>105</v>
      </c>
      <c r="C61" s="79">
        <v>2.767098832317753</v>
      </c>
      <c r="D61" s="80"/>
      <c r="E61" s="73">
        <v>3.09</v>
      </c>
      <c r="F61" s="73">
        <v>2.74</v>
      </c>
      <c r="G61" s="81">
        <v>0.03076920000000001</v>
      </c>
      <c r="H61" s="82">
        <f t="shared" si="0"/>
        <v>0.34999999999999964</v>
      </c>
    </row>
    <row r="62" spans="1:8" s="266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370" t="s">
        <v>108</v>
      </c>
      <c r="B63" s="217" t="s">
        <v>155</v>
      </c>
      <c r="C63" s="371">
        <v>1025.4942707999999</v>
      </c>
      <c r="D63" s="371"/>
      <c r="E63" s="372" t="s">
        <v>110</v>
      </c>
      <c r="F63" s="372"/>
      <c r="G63" s="373"/>
      <c r="H63" s="374"/>
    </row>
    <row r="64" spans="1:8" s="250" customFormat="1" ht="19.5" thickBot="1" thickTop="1">
      <c r="A64" s="165" t="s">
        <v>111</v>
      </c>
      <c r="B64" s="234" t="s">
        <v>112</v>
      </c>
      <c r="C64" s="114">
        <v>8316.121973293388</v>
      </c>
      <c r="D64" s="114"/>
      <c r="E64" s="112">
        <v>8164.197343999999</v>
      </c>
      <c r="F64" s="112">
        <v>7984.13239</v>
      </c>
      <c r="G64" s="112">
        <v>27.0153576</v>
      </c>
      <c r="H64" s="235">
        <f>E64-F64</f>
        <v>180.0649539999995</v>
      </c>
    </row>
    <row r="65" spans="1:8" ht="15.75" thickTop="1">
      <c r="A65" s="375"/>
      <c r="B65" s="170" t="s">
        <v>113</v>
      </c>
      <c r="C65" s="269">
        <v>2981.289815142134</v>
      </c>
      <c r="D65" s="269"/>
      <c r="E65" s="270">
        <v>2430.92627</v>
      </c>
      <c r="F65" s="270">
        <v>2357.39</v>
      </c>
      <c r="G65" s="172">
        <v>27.0153576</v>
      </c>
      <c r="H65" s="376">
        <f>E65-F65</f>
        <v>73.53627000000006</v>
      </c>
    </row>
    <row r="66" spans="1:8" ht="15">
      <c r="A66" s="377"/>
      <c r="B66" s="116" t="s">
        <v>114</v>
      </c>
      <c r="C66" s="103">
        <v>1453.671135700215</v>
      </c>
      <c r="D66" s="103"/>
      <c r="E66" s="272">
        <v>1568.39367</v>
      </c>
      <c r="F66" s="272">
        <v>1552.606</v>
      </c>
      <c r="G66" s="272"/>
      <c r="H66" s="378">
        <f>E66-F66</f>
        <v>15.787669999999935</v>
      </c>
    </row>
    <row r="67" spans="1:8" ht="15">
      <c r="A67" s="377"/>
      <c r="B67" s="116" t="s">
        <v>115</v>
      </c>
      <c r="C67" s="103">
        <v>1246.8449904826082</v>
      </c>
      <c r="D67" s="103"/>
      <c r="E67" s="272">
        <v>1378.48357</v>
      </c>
      <c r="F67" s="272">
        <v>1361.779</v>
      </c>
      <c r="G67" s="272"/>
      <c r="H67" s="378">
        <f>E67-F67</f>
        <v>16.704570000000103</v>
      </c>
    </row>
    <row r="68" spans="1:8" ht="15">
      <c r="A68" s="377"/>
      <c r="B68" s="116" t="s">
        <v>116</v>
      </c>
      <c r="C68" s="103">
        <v>1681.0644878864132</v>
      </c>
      <c r="D68" s="103"/>
      <c r="E68" s="272">
        <v>1847.23186</v>
      </c>
      <c r="F68" s="272">
        <v>1825.144</v>
      </c>
      <c r="G68" s="272"/>
      <c r="H68" s="378">
        <f>E68-F68</f>
        <v>22.08786000000009</v>
      </c>
    </row>
    <row r="69" spans="1:8" ht="15.75" thickBot="1">
      <c r="A69" s="379"/>
      <c r="B69" s="174" t="s">
        <v>117</v>
      </c>
      <c r="C69" s="103">
        <v>953.2515440820164</v>
      </c>
      <c r="D69" s="103"/>
      <c r="E69" s="274">
        <v>939.161974</v>
      </c>
      <c r="F69" s="274">
        <v>887.21339</v>
      </c>
      <c r="G69" s="274"/>
      <c r="H69" s="380">
        <f>129.3573506+0.17255</f>
        <v>129.5299006</v>
      </c>
    </row>
    <row r="70" spans="1:8" ht="19.5" thickBot="1" thickTop="1">
      <c r="A70" s="165" t="s">
        <v>118</v>
      </c>
      <c r="B70" s="234" t="s">
        <v>119</v>
      </c>
      <c r="C70" s="114">
        <v>14350.340644548694</v>
      </c>
      <c r="D70" s="114"/>
      <c r="E70" s="112">
        <v>13763.296343999998</v>
      </c>
      <c r="F70" s="112">
        <v>13455.002389999998</v>
      </c>
      <c r="G70" s="112">
        <v>88.4966148</v>
      </c>
      <c r="H70" s="235">
        <f>H25+H64</f>
        <v>308.29395399999976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39.00434</v>
      </c>
      <c r="F71" s="112">
        <v>37.57936</v>
      </c>
      <c r="G71" s="112">
        <v>0</v>
      </c>
      <c r="H71" s="235">
        <f>E71-F71</f>
        <v>1.424979999999998</v>
      </c>
    </row>
    <row r="72" spans="1:8" ht="15.75" thickTop="1">
      <c r="A72" s="377"/>
      <c r="B72" s="116" t="s">
        <v>122</v>
      </c>
      <c r="C72" s="118"/>
      <c r="D72" s="118"/>
      <c r="E72" s="272">
        <v>39.00434</v>
      </c>
      <c r="F72" s="272">
        <v>37.57936</v>
      </c>
      <c r="G72" s="381"/>
      <c r="H72" s="378">
        <f>E72-F72</f>
        <v>1.424979999999998</v>
      </c>
    </row>
    <row r="73" spans="1:8" ht="15">
      <c r="A73" s="377"/>
      <c r="B73" s="116" t="s">
        <v>123</v>
      </c>
      <c r="C73" s="118"/>
      <c r="D73" s="118"/>
      <c r="E73" s="381"/>
      <c r="F73" s="381"/>
      <c r="G73" s="381"/>
      <c r="H73" s="378">
        <f>E73-F73</f>
        <v>0</v>
      </c>
    </row>
    <row r="74" spans="1:8" ht="32.25" customHeight="1" thickBot="1">
      <c r="A74" s="382"/>
      <c r="B74" s="383" t="s">
        <v>124</v>
      </c>
      <c r="C74" s="384"/>
      <c r="D74" s="385"/>
      <c r="E74" s="319">
        <v>116.978</v>
      </c>
      <c r="F74" s="386" t="s">
        <v>110</v>
      </c>
      <c r="G74" s="387"/>
      <c r="H74" s="388"/>
    </row>
    <row r="75" spans="1:8" ht="33" customHeight="1" thickBot="1" thickTop="1">
      <c r="A75" s="389" t="s">
        <v>125</v>
      </c>
      <c r="B75" s="110" t="s">
        <v>126</v>
      </c>
      <c r="C75" s="114">
        <v>25.89006</v>
      </c>
      <c r="D75" s="114"/>
      <c r="E75" s="323">
        <v>25.89006</v>
      </c>
      <c r="F75" s="348">
        <v>25.89006</v>
      </c>
      <c r="G75" s="180"/>
      <c r="H75" s="234">
        <f>E75-F75</f>
        <v>0</v>
      </c>
    </row>
    <row r="76" spans="1:8" ht="21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4759.528933999999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2004.4590000000003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2746.1049539999995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8.964979999999997</v>
      </c>
      <c r="H79" s="326"/>
    </row>
    <row r="80" spans="1:8" ht="14.25">
      <c r="A80" s="327"/>
      <c r="B80" s="328"/>
      <c r="C80" s="328"/>
      <c r="D80" s="328"/>
      <c r="E80" s="328"/>
      <c r="F80" s="328"/>
      <c r="G80" s="328"/>
      <c r="H80" s="328"/>
    </row>
    <row r="81" spans="1:8" ht="18">
      <c r="A81" s="327"/>
      <c r="B81" s="283" t="s">
        <v>132</v>
      </c>
      <c r="C81" s="283"/>
      <c r="D81" s="283"/>
      <c r="E81" s="283"/>
      <c r="F81" s="283"/>
      <c r="G81" s="283" t="s">
        <v>133</v>
      </c>
      <c r="H81" s="283"/>
    </row>
    <row r="82" spans="1:8" ht="18">
      <c r="A82" s="327"/>
      <c r="B82" s="283" t="s">
        <v>134</v>
      </c>
      <c r="C82" s="283"/>
      <c r="D82" s="283"/>
      <c r="E82" s="283"/>
      <c r="F82" s="283"/>
      <c r="G82" s="283"/>
      <c r="H82" s="283"/>
    </row>
    <row r="90" spans="1:8" s="252" customFormat="1" ht="14.25">
      <c r="A90" s="282"/>
      <c r="B90" s="249"/>
      <c r="C90" s="249"/>
      <c r="D90" s="249"/>
      <c r="E90" s="249"/>
      <c r="F90" s="249"/>
      <c r="G90" s="249"/>
      <c r="H90" s="249"/>
    </row>
    <row r="91" spans="1:8" s="252" customFormat="1" ht="14.25">
      <c r="A91" s="282"/>
      <c r="B91" s="249"/>
      <c r="C91" s="249"/>
      <c r="D91" s="249"/>
      <c r="E91" s="249"/>
      <c r="F91" s="249"/>
      <c r="G91" s="249"/>
      <c r="H91" s="249"/>
    </row>
    <row r="93" spans="1:8" s="267" customFormat="1" ht="16.5">
      <c r="A93" s="282"/>
      <c r="B93" s="249"/>
      <c r="C93" s="249"/>
      <c r="D93" s="249"/>
      <c r="E93" s="249"/>
      <c r="F93" s="249"/>
      <c r="G93" s="249"/>
      <c r="H93" s="249"/>
    </row>
    <row r="94" spans="1:8" s="284" customFormat="1" ht="14.25">
      <c r="A94" s="282"/>
      <c r="B94" s="249"/>
      <c r="C94" s="249"/>
      <c r="D94" s="249"/>
      <c r="E94" s="249"/>
      <c r="F94" s="249"/>
      <c r="G94" s="249"/>
      <c r="H94" s="249"/>
    </row>
    <row r="95" spans="1:8" s="284" customFormat="1" ht="14.25">
      <c r="A95" s="282"/>
      <c r="B95" s="249"/>
      <c r="C95" s="249"/>
      <c r="D95" s="249"/>
      <c r="E95" s="249"/>
      <c r="F95" s="249"/>
      <c r="G95" s="249"/>
      <c r="H95" s="249"/>
    </row>
    <row r="96" spans="1:8" s="284" customFormat="1" ht="14.25">
      <c r="A96" s="282"/>
      <c r="B96" s="249"/>
      <c r="C96" s="249"/>
      <c r="D96" s="249"/>
      <c r="E96" s="249"/>
      <c r="F96" s="249"/>
      <c r="G96" s="249"/>
      <c r="H96" s="249"/>
    </row>
    <row r="97" spans="1:8" s="284" customFormat="1" ht="14.25">
      <c r="A97" s="282"/>
      <c r="B97" s="249"/>
      <c r="C97" s="249"/>
      <c r="D97" s="249"/>
      <c r="E97" s="249"/>
      <c r="F97" s="249"/>
      <c r="G97" s="249"/>
      <c r="H97" s="249"/>
    </row>
    <row r="98" spans="1:8" s="284" customFormat="1" ht="14.25">
      <c r="A98" s="282"/>
      <c r="B98" s="249"/>
      <c r="C98" s="249"/>
      <c r="D98" s="249"/>
      <c r="E98" s="249"/>
      <c r="F98" s="249"/>
      <c r="G98" s="249"/>
      <c r="H98" s="249"/>
    </row>
    <row r="99" spans="1:8" s="285" customFormat="1" ht="14.25">
      <c r="A99" s="282"/>
      <c r="B99" s="249"/>
      <c r="C99" s="249"/>
      <c r="D99" s="249"/>
      <c r="E99" s="249"/>
      <c r="F99" s="249"/>
      <c r="G99" s="249"/>
      <c r="H99" s="249"/>
    </row>
    <row r="100" spans="1:8" s="285" customFormat="1" ht="14.25">
      <c r="A100" s="282"/>
      <c r="B100" s="249"/>
      <c r="C100" s="249"/>
      <c r="D100" s="249"/>
      <c r="E100" s="249"/>
      <c r="F100" s="249"/>
      <c r="G100" s="249"/>
      <c r="H100" s="249"/>
    </row>
    <row r="101" spans="1:8" s="252" customFormat="1" ht="14.25">
      <c r="A101" s="282"/>
      <c r="B101" s="249"/>
      <c r="C101" s="249"/>
      <c r="D101" s="249"/>
      <c r="E101" s="249"/>
      <c r="F101" s="249"/>
      <c r="G101" s="249"/>
      <c r="H101" s="249"/>
    </row>
    <row r="102" spans="1:8" s="286" customFormat="1" ht="16.5">
      <c r="A102" s="282"/>
      <c r="B102" s="249"/>
      <c r="C102" s="249"/>
      <c r="D102" s="249"/>
      <c r="E102" s="249"/>
      <c r="F102" s="249"/>
      <c r="G102" s="249"/>
      <c r="H102" s="249"/>
    </row>
    <row r="103" spans="1:8" s="284" customFormat="1" ht="14.25">
      <c r="A103" s="282"/>
      <c r="B103" s="249"/>
      <c r="C103" s="249"/>
      <c r="D103" s="249"/>
      <c r="E103" s="249"/>
      <c r="F103" s="249"/>
      <c r="G103" s="249"/>
      <c r="H103" s="249"/>
    </row>
    <row r="104" spans="1:8" s="284" customFormat="1" ht="14.25">
      <c r="A104" s="282"/>
      <c r="B104" s="249"/>
      <c r="C104" s="249"/>
      <c r="D104" s="249"/>
      <c r="E104" s="249"/>
      <c r="F104" s="249"/>
      <c r="G104" s="249"/>
      <c r="H104" s="249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8">
    <tabColor theme="9" tint="0.39998000860214233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7109375" style="140" customWidth="1"/>
    <col min="3" max="3" width="15.28125" style="140" customWidth="1"/>
    <col min="4" max="4" width="8.140625" style="140" customWidth="1"/>
    <col min="5" max="5" width="21.140625" style="140" customWidth="1"/>
    <col min="6" max="6" width="23.8515625" style="140" customWidth="1"/>
    <col min="7" max="7" width="19.421875" style="140" customWidth="1"/>
    <col min="8" max="8" width="21.8515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Молодежный</v>
      </c>
      <c r="E2" s="5"/>
      <c r="F2" s="5" t="s">
        <v>3</v>
      </c>
      <c r="G2" s="7">
        <f>D17</f>
        <v>11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160</v>
      </c>
      <c r="B17" s="32" t="s">
        <v>165</v>
      </c>
      <c r="C17" s="31" t="s">
        <v>3</v>
      </c>
      <c r="D17" s="31">
        <v>11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2532.13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1100.8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1426.47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4.86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5953.152859241314</v>
      </c>
      <c r="D25" s="57">
        <v>0</v>
      </c>
      <c r="E25" s="58">
        <v>5515.664900000001</v>
      </c>
      <c r="F25" s="58">
        <v>5477.709999999999</v>
      </c>
      <c r="G25" s="157">
        <v>28.9866588</v>
      </c>
      <c r="H25" s="59">
        <f>E25-F25</f>
        <v>37.954900000001544</v>
      </c>
    </row>
    <row r="26" spans="1:8" s="143" customFormat="1" ht="18">
      <c r="A26" s="60" t="s">
        <v>36</v>
      </c>
      <c r="B26" s="61" t="s">
        <v>37</v>
      </c>
      <c r="C26" s="62">
        <v>352.35</v>
      </c>
      <c r="D26" s="62"/>
      <c r="E26" s="63">
        <v>1324.41</v>
      </c>
      <c r="F26" s="63">
        <v>1315.2</v>
      </c>
      <c r="G26" s="313">
        <v>7.0316532</v>
      </c>
      <c r="H26" s="64">
        <f>E26-F26</f>
        <v>9.210000000000036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5600.802859241314</v>
      </c>
      <c r="D50" s="62">
        <v>0</v>
      </c>
      <c r="E50" s="63">
        <v>4191.254900000001</v>
      </c>
      <c r="F50" s="63">
        <v>4162.509999999999</v>
      </c>
      <c r="G50" s="63">
        <v>21.9550056</v>
      </c>
      <c r="H50" s="64">
        <f aca="true" t="shared" si="0" ref="H50:H61">E50-F50</f>
        <v>28.744900000001508</v>
      </c>
    </row>
    <row r="51" spans="1:8" s="158" customFormat="1" ht="15">
      <c r="A51" s="77" t="s">
        <v>84</v>
      </c>
      <c r="B51" s="78" t="s">
        <v>85</v>
      </c>
      <c r="C51" s="79">
        <v>574.0246850793637</v>
      </c>
      <c r="D51" s="80"/>
      <c r="E51" s="73">
        <v>274.072</v>
      </c>
      <c r="F51" s="73">
        <v>272.24</v>
      </c>
      <c r="G51" s="81">
        <v>1.4133768</v>
      </c>
      <c r="H51" s="82">
        <f t="shared" si="0"/>
        <v>1.8319999999999936</v>
      </c>
    </row>
    <row r="52" spans="1:8" s="158" customFormat="1" ht="15">
      <c r="A52" s="77" t="s">
        <v>86</v>
      </c>
      <c r="B52" s="78" t="s">
        <v>87</v>
      </c>
      <c r="C52" s="79">
        <v>364.8791939034786</v>
      </c>
      <c r="D52" s="80"/>
      <c r="E52" s="73">
        <v>356.51669</v>
      </c>
      <c r="F52" s="73">
        <v>355.5</v>
      </c>
      <c r="G52" s="81">
        <v>1.9501284</v>
      </c>
      <c r="H52" s="82">
        <f t="shared" si="0"/>
        <v>1.0166899999999828</v>
      </c>
    </row>
    <row r="53" spans="1:8" s="158" customFormat="1" ht="15">
      <c r="A53" s="77" t="s">
        <v>88</v>
      </c>
      <c r="B53" s="78" t="s">
        <v>89</v>
      </c>
      <c r="C53" s="79">
        <v>71.34695229971864</v>
      </c>
      <c r="D53" s="80"/>
      <c r="E53" s="73">
        <v>67.569</v>
      </c>
      <c r="F53" s="73">
        <v>66.83</v>
      </c>
      <c r="G53" s="81">
        <v>0.36267000000000005</v>
      </c>
      <c r="H53" s="82">
        <f t="shared" si="0"/>
        <v>0.7390000000000043</v>
      </c>
    </row>
    <row r="54" spans="1:8" s="158" customFormat="1" ht="15">
      <c r="A54" s="77" t="s">
        <v>90</v>
      </c>
      <c r="B54" s="78" t="s">
        <v>91</v>
      </c>
      <c r="C54" s="79">
        <v>328.89924281270595</v>
      </c>
      <c r="D54" s="80"/>
      <c r="E54" s="73">
        <v>287.738</v>
      </c>
      <c r="F54" s="73">
        <v>285.39</v>
      </c>
      <c r="G54" s="81">
        <v>1.4838384</v>
      </c>
      <c r="H54" s="82">
        <f t="shared" si="0"/>
        <v>2.348000000000013</v>
      </c>
    </row>
    <row r="55" spans="1:8" s="158" customFormat="1" ht="30" customHeight="1">
      <c r="A55" s="77" t="s">
        <v>92</v>
      </c>
      <c r="B55" s="78" t="s">
        <v>93</v>
      </c>
      <c r="C55" s="79">
        <v>1705.3768064851013</v>
      </c>
      <c r="D55" s="80"/>
      <c r="E55" s="73">
        <v>1144.88</v>
      </c>
      <c r="F55" s="73">
        <v>1137.17</v>
      </c>
      <c r="G55" s="81">
        <v>5.9291364</v>
      </c>
      <c r="H55" s="82">
        <f t="shared" si="0"/>
        <v>7.710000000000036</v>
      </c>
    </row>
    <row r="56" spans="1:8" s="158" customFormat="1" ht="15">
      <c r="A56" s="77" t="s">
        <v>94</v>
      </c>
      <c r="B56" s="78" t="s">
        <v>95</v>
      </c>
      <c r="C56" s="79">
        <v>175.08720033686242</v>
      </c>
      <c r="D56" s="80"/>
      <c r="E56" s="73">
        <v>157.914</v>
      </c>
      <c r="F56" s="73">
        <v>156.66</v>
      </c>
      <c r="G56" s="81">
        <v>0.8579736000000001</v>
      </c>
      <c r="H56" s="82">
        <f t="shared" si="0"/>
        <v>1.2539999999999907</v>
      </c>
    </row>
    <row r="57" spans="1:8" s="158" customFormat="1" ht="15">
      <c r="A57" s="77" t="s">
        <v>96</v>
      </c>
      <c r="B57" s="78" t="s">
        <v>97</v>
      </c>
      <c r="C57" s="79">
        <v>140.52623335748024</v>
      </c>
      <c r="D57" s="80"/>
      <c r="E57" s="73">
        <v>206.503</v>
      </c>
      <c r="F57" s="73">
        <v>204.87</v>
      </c>
      <c r="G57" s="81">
        <v>1.0299828000000002</v>
      </c>
      <c r="H57" s="82">
        <f t="shared" si="0"/>
        <v>1.6329999999999814</v>
      </c>
    </row>
    <row r="58" spans="1:8" s="158" customFormat="1" ht="15">
      <c r="A58" s="77" t="s">
        <v>98</v>
      </c>
      <c r="B58" s="78" t="s">
        <v>99</v>
      </c>
      <c r="C58" s="79">
        <v>488.44878336957197</v>
      </c>
      <c r="D58" s="80"/>
      <c r="E58" s="73">
        <v>385.676</v>
      </c>
      <c r="F58" s="73">
        <v>382.89</v>
      </c>
      <c r="G58" s="81">
        <v>2.0226623999999997</v>
      </c>
      <c r="H58" s="82">
        <f t="shared" si="0"/>
        <v>2.7860000000000014</v>
      </c>
    </row>
    <row r="59" spans="1:8" s="158" customFormat="1" ht="15">
      <c r="A59" s="77" t="s">
        <v>100</v>
      </c>
      <c r="B59" s="78" t="s">
        <v>101</v>
      </c>
      <c r="C59" s="79">
        <v>1749.5078895979602</v>
      </c>
      <c r="D59" s="80"/>
      <c r="E59" s="73">
        <v>1307.349</v>
      </c>
      <c r="F59" s="73">
        <v>1298.22</v>
      </c>
      <c r="G59" s="81">
        <v>6.89073</v>
      </c>
      <c r="H59" s="82">
        <f t="shared" si="0"/>
        <v>9.128999999999905</v>
      </c>
    </row>
    <row r="60" spans="1:8" s="158" customFormat="1" ht="28.5" hidden="1">
      <c r="A60" s="77" t="s">
        <v>102</v>
      </c>
      <c r="B60" s="78" t="s">
        <v>103</v>
      </c>
      <c r="C60" s="390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2.7058719990714053</v>
      </c>
      <c r="D61" s="80"/>
      <c r="E61" s="73">
        <v>3.03721</v>
      </c>
      <c r="F61" s="73">
        <v>2.74</v>
      </c>
      <c r="G61" s="81">
        <v>0.0145068</v>
      </c>
      <c r="H61" s="82">
        <f t="shared" si="0"/>
        <v>0.29720999999999975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969.8816532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7104.8733905045765</v>
      </c>
      <c r="D64" s="114"/>
      <c r="E64" s="112">
        <v>6945.99704</v>
      </c>
      <c r="F64" s="112">
        <v>6929.98531</v>
      </c>
      <c r="G64" s="112">
        <v>12.7369704</v>
      </c>
      <c r="H64" s="235">
        <f>E64-F64</f>
        <v>16.01173000000017</v>
      </c>
    </row>
    <row r="65" spans="1:8" ht="15.75" thickTop="1">
      <c r="A65" s="176"/>
      <c r="B65" s="170" t="s">
        <v>113</v>
      </c>
      <c r="C65" s="171">
        <v>2859.388535559016</v>
      </c>
      <c r="D65" s="171"/>
      <c r="E65" s="163">
        <v>2395.62377</v>
      </c>
      <c r="F65" s="163">
        <v>2372.845</v>
      </c>
      <c r="G65" s="172">
        <v>12.7369704</v>
      </c>
      <c r="H65" s="226">
        <f>E65-F65</f>
        <v>22.77877000000035</v>
      </c>
    </row>
    <row r="66" spans="1:8" ht="15">
      <c r="A66" s="115"/>
      <c r="B66" s="116" t="s">
        <v>114</v>
      </c>
      <c r="C66" s="103">
        <v>1118.1393121439594</v>
      </c>
      <c r="D66" s="103"/>
      <c r="E66" s="81">
        <v>1206.38195</v>
      </c>
      <c r="F66" s="81">
        <v>1180.06</v>
      </c>
      <c r="G66" s="81"/>
      <c r="H66" s="179">
        <f>E66-F66</f>
        <v>26.321950000000015</v>
      </c>
    </row>
    <row r="67" spans="1:8" ht="15">
      <c r="A67" s="115"/>
      <c r="B67" s="116" t="s">
        <v>115</v>
      </c>
      <c r="C67" s="103">
        <v>961.0528092366366</v>
      </c>
      <c r="D67" s="103"/>
      <c r="E67" s="81">
        <v>1062.51821</v>
      </c>
      <c r="F67" s="81">
        <v>1035.112</v>
      </c>
      <c r="G67" s="81"/>
      <c r="H67" s="179">
        <f>E67-F67</f>
        <v>27.406209999999874</v>
      </c>
    </row>
    <row r="68" spans="1:8" ht="15">
      <c r="A68" s="115"/>
      <c r="B68" s="116" t="s">
        <v>116</v>
      </c>
      <c r="C68" s="103">
        <v>1295.4603631605062</v>
      </c>
      <c r="D68" s="103"/>
      <c r="E68" s="81">
        <v>1423.51211</v>
      </c>
      <c r="F68" s="81">
        <v>1387.387</v>
      </c>
      <c r="G68" s="81"/>
      <c r="H68" s="179">
        <f>E68-F68</f>
        <v>36.12510999999995</v>
      </c>
    </row>
    <row r="69" spans="1:8" ht="15.75" thickBot="1">
      <c r="A69" s="318"/>
      <c r="B69" s="174" t="s">
        <v>117</v>
      </c>
      <c r="C69" s="103">
        <v>870.832370404459</v>
      </c>
      <c r="D69" s="103"/>
      <c r="E69" s="88">
        <v>857.961</v>
      </c>
      <c r="F69" s="88">
        <v>954.58131</v>
      </c>
      <c r="G69" s="88"/>
      <c r="H69" s="232">
        <f>-29.98858+11.46994</f>
        <v>-18.518639999999998</v>
      </c>
    </row>
    <row r="70" spans="1:8" ht="19.5" thickBot="1" thickTop="1">
      <c r="A70" s="165" t="s">
        <v>118</v>
      </c>
      <c r="B70" s="234" t="s">
        <v>119</v>
      </c>
      <c r="C70" s="114">
        <v>13058.02624974589</v>
      </c>
      <c r="D70" s="114"/>
      <c r="E70" s="112">
        <v>12461.661940000002</v>
      </c>
      <c r="F70" s="112">
        <v>12407.69531</v>
      </c>
      <c r="G70" s="112">
        <v>41.723629200000005</v>
      </c>
      <c r="H70" s="235">
        <f>H25+H64</f>
        <v>53.966630000001715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47.62408</v>
      </c>
      <c r="F71" s="112">
        <v>47.94473</v>
      </c>
      <c r="G71" s="112">
        <v>0</v>
      </c>
      <c r="H71" s="235">
        <f>E71-F71</f>
        <v>-0.32065000000000055</v>
      </c>
    </row>
    <row r="72" spans="1:8" ht="15.75" thickTop="1">
      <c r="A72" s="115"/>
      <c r="B72" s="116" t="s">
        <v>122</v>
      </c>
      <c r="C72" s="118"/>
      <c r="D72" s="118"/>
      <c r="E72" s="81">
        <v>47.62408</v>
      </c>
      <c r="F72" s="81">
        <v>47.94473</v>
      </c>
      <c r="G72" s="119"/>
      <c r="H72" s="179">
        <f>E72-F72</f>
        <v>-0.32065000000000055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157.282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31.38696</v>
      </c>
      <c r="D75" s="114"/>
      <c r="E75" s="323">
        <v>31.38696</v>
      </c>
      <c r="F75" s="323">
        <v>31.38696</v>
      </c>
      <c r="G75" s="180"/>
      <c r="H75" s="234">
        <f>E75-F75</f>
        <v>0</v>
      </c>
    </row>
    <row r="76" spans="1:8" ht="23.2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2585.7759800000017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1138.7549000000015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1442.4817300000002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4.53935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9">
    <tabColor theme="9" tint="0.39998000860214233"/>
  </sheetPr>
  <dimension ref="A1:H104"/>
  <sheetViews>
    <sheetView zoomScaleSheetLayoutView="80" zoomScalePageLayoutView="0" workbookViewId="0" topLeftCell="A1">
      <selection activeCell="E75" sqref="E75"/>
    </sheetView>
  </sheetViews>
  <sheetFormatPr defaultColWidth="9.140625" defaultRowHeight="15"/>
  <cols>
    <col min="1" max="1" width="8.57421875" style="187" customWidth="1"/>
    <col min="2" max="2" width="56.28125" style="140" customWidth="1"/>
    <col min="3" max="3" width="14.57421875" style="140" customWidth="1"/>
    <col min="4" max="4" width="7.8515625" style="140" customWidth="1"/>
    <col min="5" max="5" width="17.8515625" style="140" customWidth="1"/>
    <col min="6" max="6" width="23.8515625" style="140" customWidth="1"/>
    <col min="7" max="7" width="20.421875" style="140" customWidth="1"/>
    <col min="8" max="8" width="19.8515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Молодежный</v>
      </c>
      <c r="E2" s="5"/>
      <c r="F2" s="5" t="s">
        <v>3</v>
      </c>
      <c r="G2" s="7">
        <f>D17</f>
        <v>15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160</v>
      </c>
      <c r="B17" s="32" t="s">
        <v>165</v>
      </c>
      <c r="C17" s="31" t="s">
        <v>3</v>
      </c>
      <c r="D17" s="31">
        <v>15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3047.62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1278.2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1763.09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6.33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6451.422795985404</v>
      </c>
      <c r="D25" s="57">
        <v>0</v>
      </c>
      <c r="E25" s="58">
        <v>5472.651999999999</v>
      </c>
      <c r="F25" s="58">
        <v>5451.25</v>
      </c>
      <c r="G25" s="157">
        <v>99.43078560000001</v>
      </c>
      <c r="H25" s="59">
        <f>E25-F25</f>
        <v>21.401999999999134</v>
      </c>
    </row>
    <row r="26" spans="1:8" s="143" customFormat="1" ht="18">
      <c r="A26" s="60" t="s">
        <v>36</v>
      </c>
      <c r="B26" s="61" t="s">
        <v>37</v>
      </c>
      <c r="C26" s="62">
        <v>780.42</v>
      </c>
      <c r="D26" s="62"/>
      <c r="E26" s="63">
        <v>1282.12</v>
      </c>
      <c r="F26" s="63">
        <v>1277.77</v>
      </c>
      <c r="G26" s="313">
        <v>24.120158399999998</v>
      </c>
      <c r="H26" s="64">
        <f>E26-F26</f>
        <v>4.349999999999909</v>
      </c>
    </row>
    <row r="27" spans="1:8" s="143" customFormat="1" ht="39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5671.002795985404</v>
      </c>
      <c r="D50" s="62">
        <v>0</v>
      </c>
      <c r="E50" s="63">
        <v>4190.531999999999</v>
      </c>
      <c r="F50" s="63">
        <v>4173.48</v>
      </c>
      <c r="G50" s="63">
        <v>75.3106272</v>
      </c>
      <c r="H50" s="64">
        <f aca="true" t="shared" si="0" ref="H50:H61">E50-F50</f>
        <v>17.05199999999968</v>
      </c>
    </row>
    <row r="51" spans="1:8" s="158" customFormat="1" ht="15">
      <c r="A51" s="77" t="s">
        <v>84</v>
      </c>
      <c r="B51" s="78" t="s">
        <v>85</v>
      </c>
      <c r="C51" s="79">
        <v>581.2109488030865</v>
      </c>
      <c r="D51" s="80"/>
      <c r="E51" s="73">
        <v>274.086</v>
      </c>
      <c r="F51" s="73">
        <v>273.11</v>
      </c>
      <c r="G51" s="81">
        <v>4.8482016</v>
      </c>
      <c r="H51" s="82">
        <f t="shared" si="0"/>
        <v>0.9759999999999991</v>
      </c>
    </row>
    <row r="52" spans="1:8" s="158" customFormat="1" ht="15">
      <c r="A52" s="77" t="s">
        <v>86</v>
      </c>
      <c r="B52" s="78" t="s">
        <v>87</v>
      </c>
      <c r="C52" s="79">
        <v>368.7721713672626</v>
      </c>
      <c r="D52" s="80"/>
      <c r="E52" s="73">
        <v>355.602</v>
      </c>
      <c r="F52" s="73">
        <v>354.33</v>
      </c>
      <c r="G52" s="81">
        <v>6.6893808</v>
      </c>
      <c r="H52" s="82">
        <f t="shared" si="0"/>
        <v>1.2719999999999914</v>
      </c>
    </row>
    <row r="53" spans="1:8" s="158" customFormat="1" ht="15">
      <c r="A53" s="77" t="s">
        <v>88</v>
      </c>
      <c r="B53" s="78" t="s">
        <v>89</v>
      </c>
      <c r="C53" s="79">
        <v>72.27578423047056</v>
      </c>
      <c r="D53" s="80"/>
      <c r="E53" s="73">
        <v>67.572</v>
      </c>
      <c r="F53" s="73">
        <v>67.05</v>
      </c>
      <c r="G53" s="81">
        <v>1.24404</v>
      </c>
      <c r="H53" s="82">
        <f t="shared" si="0"/>
        <v>0.5220000000000056</v>
      </c>
    </row>
    <row r="54" spans="1:8" s="158" customFormat="1" ht="15">
      <c r="A54" s="77" t="s">
        <v>90</v>
      </c>
      <c r="B54" s="78" t="s">
        <v>91</v>
      </c>
      <c r="C54" s="79">
        <v>333.0159298128351</v>
      </c>
      <c r="D54" s="80"/>
      <c r="E54" s="73">
        <v>287.752</v>
      </c>
      <c r="F54" s="73">
        <v>286.74</v>
      </c>
      <c r="G54" s="81">
        <v>5.089900800000001</v>
      </c>
      <c r="H54" s="82">
        <f t="shared" si="0"/>
        <v>1.0120000000000005</v>
      </c>
    </row>
    <row r="55" spans="1:8" s="158" customFormat="1" ht="28.5" customHeight="1">
      <c r="A55" s="77" t="s">
        <v>92</v>
      </c>
      <c r="B55" s="78" t="s">
        <v>93</v>
      </c>
      <c r="C55" s="79">
        <v>1726.8140887738834</v>
      </c>
      <c r="D55" s="80"/>
      <c r="E55" s="73">
        <v>1144.937</v>
      </c>
      <c r="F55" s="73">
        <v>1140.4</v>
      </c>
      <c r="G55" s="81">
        <v>20.3382768</v>
      </c>
      <c r="H55" s="82">
        <f t="shared" si="0"/>
        <v>4.536999999999807</v>
      </c>
    </row>
    <row r="56" spans="1:8" s="158" customFormat="1" ht="15">
      <c r="A56" s="77" t="s">
        <v>94</v>
      </c>
      <c r="B56" s="78" t="s">
        <v>95</v>
      </c>
      <c r="C56" s="79">
        <v>177.39535137929676</v>
      </c>
      <c r="D56" s="80"/>
      <c r="E56" s="73">
        <v>157.922</v>
      </c>
      <c r="F56" s="73">
        <v>157</v>
      </c>
      <c r="G56" s="81">
        <v>2.943043200000001</v>
      </c>
      <c r="H56" s="82">
        <f t="shared" si="0"/>
        <v>0.921999999999997</v>
      </c>
    </row>
    <row r="57" spans="1:8" s="158" customFormat="1" ht="15">
      <c r="A57" s="77" t="s">
        <v>96</v>
      </c>
      <c r="B57" s="78" t="s">
        <v>97</v>
      </c>
      <c r="C57" s="79">
        <v>142.2279155645426</v>
      </c>
      <c r="D57" s="80"/>
      <c r="E57" s="73">
        <v>206.513</v>
      </c>
      <c r="F57" s="73">
        <v>205.51</v>
      </c>
      <c r="G57" s="81">
        <v>3.5330736000000003</v>
      </c>
      <c r="H57" s="82">
        <f t="shared" si="0"/>
        <v>1.0030000000000143</v>
      </c>
    </row>
    <row r="58" spans="1:8" s="158" customFormat="1" ht="15">
      <c r="A58" s="77" t="s">
        <v>98</v>
      </c>
      <c r="B58" s="78" t="s">
        <v>99</v>
      </c>
      <c r="C58" s="79">
        <v>494.66437089026203</v>
      </c>
      <c r="D58" s="80"/>
      <c r="E58" s="73">
        <v>385.694</v>
      </c>
      <c r="F58" s="73">
        <v>384.31</v>
      </c>
      <c r="G58" s="81">
        <v>6.938188800000001</v>
      </c>
      <c r="H58" s="82">
        <f t="shared" si="0"/>
        <v>1.3840000000000146</v>
      </c>
    </row>
    <row r="59" spans="1:8" s="158" customFormat="1" ht="15">
      <c r="A59" s="77" t="s">
        <v>100</v>
      </c>
      <c r="B59" s="78" t="s">
        <v>101</v>
      </c>
      <c r="C59" s="79">
        <v>1771.8866299037857</v>
      </c>
      <c r="D59" s="80"/>
      <c r="E59" s="73">
        <v>1307.414</v>
      </c>
      <c r="F59" s="73">
        <v>1302.3</v>
      </c>
      <c r="G59" s="81">
        <v>23.63676</v>
      </c>
      <c r="H59" s="82">
        <f t="shared" si="0"/>
        <v>5.114000000000033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2.7396052599789287</v>
      </c>
      <c r="D61" s="80"/>
      <c r="E61" s="73">
        <v>3.04</v>
      </c>
      <c r="F61" s="73">
        <v>2.73</v>
      </c>
      <c r="G61" s="81">
        <v>0.04976160000000001</v>
      </c>
      <c r="H61" s="82">
        <f t="shared" si="0"/>
        <v>0.31000000000000005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521.4701584000001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7310.367255674388</v>
      </c>
      <c r="D64" s="114"/>
      <c r="E64" s="112">
        <v>7041.321398</v>
      </c>
      <c r="F64" s="112">
        <v>6811.813529999999</v>
      </c>
      <c r="G64" s="112">
        <v>43.6906848</v>
      </c>
      <c r="H64" s="235">
        <f>E64-F64</f>
        <v>229.5078680000006</v>
      </c>
    </row>
    <row r="65" spans="1:8" ht="15.75" thickTop="1">
      <c r="A65" s="176"/>
      <c r="B65" s="170" t="s">
        <v>113</v>
      </c>
      <c r="C65" s="171">
        <v>2958.947779977383</v>
      </c>
      <c r="D65" s="171"/>
      <c r="E65" s="163">
        <v>2378.50814</v>
      </c>
      <c r="F65" s="163">
        <v>2336.142</v>
      </c>
      <c r="G65" s="172">
        <v>43.6906848</v>
      </c>
      <c r="H65" s="226">
        <f>E65-F65</f>
        <v>42.36614000000009</v>
      </c>
    </row>
    <row r="66" spans="1:8" ht="15">
      <c r="A66" s="115"/>
      <c r="B66" s="116" t="s">
        <v>114</v>
      </c>
      <c r="C66" s="103">
        <v>1144.4762616779506</v>
      </c>
      <c r="D66" s="103"/>
      <c r="E66" s="81">
        <v>1234.79739</v>
      </c>
      <c r="F66" s="81">
        <v>1177.647</v>
      </c>
      <c r="G66" s="81"/>
      <c r="H66" s="179">
        <f>E66-F66</f>
        <v>57.150390000000016</v>
      </c>
    </row>
    <row r="67" spans="1:8" ht="15">
      <c r="A67" s="115"/>
      <c r="B67" s="116" t="s">
        <v>115</v>
      </c>
      <c r="C67" s="103">
        <v>980.9507116010296</v>
      </c>
      <c r="D67" s="103"/>
      <c r="E67" s="81">
        <v>1084.51688</v>
      </c>
      <c r="F67" s="81">
        <v>1035.477</v>
      </c>
      <c r="G67" s="81"/>
      <c r="H67" s="179">
        <f>E67-F67</f>
        <v>49.03987999999981</v>
      </c>
    </row>
    <row r="68" spans="1:8" ht="15">
      <c r="A68" s="115"/>
      <c r="B68" s="116" t="s">
        <v>116</v>
      </c>
      <c r="C68" s="103">
        <v>1323.6975095460398</v>
      </c>
      <c r="D68" s="103"/>
      <c r="E68" s="81">
        <v>1454.5404</v>
      </c>
      <c r="F68" s="81">
        <v>1390.33</v>
      </c>
      <c r="G68" s="81"/>
      <c r="H68" s="179">
        <f>E68-F68</f>
        <v>64.21040000000016</v>
      </c>
    </row>
    <row r="69" spans="1:8" ht="15.75" thickBot="1">
      <c r="A69" s="318"/>
      <c r="B69" s="174" t="s">
        <v>117</v>
      </c>
      <c r="C69" s="103">
        <v>902.2949928719846</v>
      </c>
      <c r="D69" s="103"/>
      <c r="E69" s="88">
        <v>888.958588</v>
      </c>
      <c r="F69" s="88">
        <v>872.2175299999999</v>
      </c>
      <c r="G69" s="88"/>
      <c r="H69" s="232">
        <f>27.74281+42.62718</f>
        <v>70.36999</v>
      </c>
    </row>
    <row r="70" spans="1:8" ht="19.5" thickBot="1" thickTop="1">
      <c r="A70" s="165" t="s">
        <v>118</v>
      </c>
      <c r="B70" s="234" t="s">
        <v>119</v>
      </c>
      <c r="C70" s="114">
        <v>13761.790051659791</v>
      </c>
      <c r="D70" s="114"/>
      <c r="E70" s="112">
        <v>12513.973397999998</v>
      </c>
      <c r="F70" s="112">
        <v>12263.06353</v>
      </c>
      <c r="G70" s="112">
        <v>143.12147040000002</v>
      </c>
      <c r="H70" s="235">
        <f>H25+H64</f>
        <v>250.90986799999973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51.72641</v>
      </c>
      <c r="F71" s="112">
        <v>50.03446</v>
      </c>
      <c r="G71" s="112">
        <v>0</v>
      </c>
      <c r="H71" s="235">
        <f>E71-F71</f>
        <v>1.6919499999999985</v>
      </c>
    </row>
    <row r="72" spans="1:8" ht="15.75" thickTop="1">
      <c r="A72" s="115"/>
      <c r="B72" s="116" t="s">
        <v>122</v>
      </c>
      <c r="C72" s="118"/>
      <c r="D72" s="118"/>
      <c r="E72" s="81">
        <v>51.72641</v>
      </c>
      <c r="F72" s="81">
        <v>50.03446</v>
      </c>
      <c r="G72" s="119"/>
      <c r="H72" s="179">
        <f>E72-F72</f>
        <v>1.6919499999999985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172.503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13.58697</v>
      </c>
      <c r="D75" s="114"/>
      <c r="E75" s="323">
        <v>13.58697</v>
      </c>
      <c r="F75" s="323">
        <v>13.58697</v>
      </c>
      <c r="G75" s="180"/>
      <c r="H75" s="234">
        <f>E75-F75</f>
        <v>0</v>
      </c>
    </row>
    <row r="76" spans="1:8" ht="28.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3300.2218179999995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1299.6019999999992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1992.5978680000005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8.021949999999999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50">
    <tabColor theme="7" tint="0.39998000860214233"/>
  </sheetPr>
  <dimension ref="A1:H104"/>
  <sheetViews>
    <sheetView zoomScaleSheetLayoutView="85" zoomScalePageLayoutView="0" workbookViewId="0" topLeftCell="A1">
      <selection activeCell="F68" sqref="F68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6.7109375" style="140" customWidth="1"/>
    <col min="4" max="4" width="10.7109375" style="140" customWidth="1"/>
    <col min="5" max="5" width="18.28125" style="140" customWidth="1"/>
    <col min="6" max="6" width="25.28125" style="140" customWidth="1"/>
    <col min="7" max="7" width="22.8515625" style="140" customWidth="1"/>
    <col min="8" max="8" width="20.8515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166</v>
      </c>
      <c r="E2" s="5"/>
      <c r="F2" s="5" t="s">
        <v>3</v>
      </c>
      <c r="G2" s="7">
        <f>D17</f>
        <v>21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157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4" customHeight="1">
      <c r="A13" s="26"/>
      <c r="B13" s="26"/>
      <c r="C13" s="26"/>
      <c r="D13" s="26"/>
      <c r="E13" s="26"/>
      <c r="F13" s="26"/>
      <c r="G13" s="26"/>
      <c r="H13" s="26"/>
    </row>
    <row r="14" spans="1:8" ht="1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160</v>
      </c>
      <c r="B17" s="197" t="s">
        <v>165</v>
      </c>
      <c r="C17" s="196" t="s">
        <v>3</v>
      </c>
      <c r="D17" s="196">
        <v>21</v>
      </c>
      <c r="E17" s="196" t="s">
        <v>18</v>
      </c>
      <c r="F17" s="196"/>
      <c r="G17" s="196"/>
      <c r="H17" s="198"/>
    </row>
    <row r="18" spans="1:8" s="141" customFormat="1" ht="5.25" customHeight="1">
      <c r="A18" s="199"/>
      <c r="B18" s="200"/>
      <c r="C18" s="201"/>
      <c r="D18" s="201"/>
      <c r="E18" s="201"/>
      <c r="F18" s="201"/>
      <c r="G18" s="201"/>
      <c r="H18" s="201"/>
    </row>
    <row r="19" spans="1:8" s="141" customFormat="1" ht="18">
      <c r="A19" s="199"/>
      <c r="B19" s="197" t="s">
        <v>145</v>
      </c>
      <c r="C19" s="201"/>
      <c r="D19" s="201"/>
      <c r="E19" s="202">
        <f>E20+E21+E22</f>
        <v>8709.22</v>
      </c>
      <c r="F19" s="203" t="s">
        <v>20</v>
      </c>
      <c r="G19" s="201"/>
      <c r="H19" s="201"/>
    </row>
    <row r="20" spans="1:8" s="141" customFormat="1" ht="15.75">
      <c r="A20" s="35"/>
      <c r="B20" s="8" t="s">
        <v>21</v>
      </c>
      <c r="C20" s="8"/>
      <c r="D20" s="8"/>
      <c r="E20" s="204">
        <v>3689.81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5001.15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18.26</v>
      </c>
      <c r="F22" s="8" t="s">
        <v>20</v>
      </c>
      <c r="G22" s="30"/>
      <c r="H22" s="30"/>
    </row>
    <row r="23" spans="1:8" s="149" customFormat="1" ht="72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43.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5018.803562554431</v>
      </c>
      <c r="D25" s="208"/>
      <c r="E25" s="58">
        <v>4756.597</v>
      </c>
      <c r="F25" s="58">
        <v>4505.57</v>
      </c>
      <c r="G25" s="157">
        <v>387.86171759999996</v>
      </c>
      <c r="H25" s="59">
        <f>E25-F25</f>
        <v>251.02700000000004</v>
      </c>
    </row>
    <row r="26" spans="1:8" s="143" customFormat="1" ht="18">
      <c r="A26" s="60" t="s">
        <v>36</v>
      </c>
      <c r="B26" s="61" t="s">
        <v>37</v>
      </c>
      <c r="C26" s="210">
        <v>1155.41896</v>
      </c>
      <c r="D26" s="211"/>
      <c r="E26" s="63">
        <v>899.566</v>
      </c>
      <c r="F26" s="63">
        <v>852</v>
      </c>
      <c r="G26" s="63">
        <v>72.8784756</v>
      </c>
      <c r="H26" s="64">
        <f>E26-F26</f>
        <v>47.56600000000003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3863.384602554431</v>
      </c>
      <c r="D50" s="211"/>
      <c r="E50" s="63">
        <v>3857.031</v>
      </c>
      <c r="F50" s="63">
        <v>3653.57</v>
      </c>
      <c r="G50" s="63">
        <v>314.98324199999996</v>
      </c>
      <c r="H50" s="64">
        <f aca="true" t="shared" si="0" ref="H50:H61">E50-F50</f>
        <v>203.46099999999979</v>
      </c>
    </row>
    <row r="51" spans="1:8" ht="15">
      <c r="A51" s="77" t="s">
        <v>84</v>
      </c>
      <c r="B51" s="78" t="s">
        <v>85</v>
      </c>
      <c r="C51" s="212">
        <v>508.6223860004763</v>
      </c>
      <c r="D51" s="213"/>
      <c r="E51" s="73">
        <v>260.875</v>
      </c>
      <c r="F51" s="73">
        <v>246.91</v>
      </c>
      <c r="G51" s="81">
        <v>21.028292999999998</v>
      </c>
      <c r="H51" s="82">
        <f t="shared" si="0"/>
        <v>13.965000000000003</v>
      </c>
    </row>
    <row r="52" spans="1:8" ht="15">
      <c r="A52" s="77" t="s">
        <v>86</v>
      </c>
      <c r="B52" s="78" t="s">
        <v>87</v>
      </c>
      <c r="C52" s="212">
        <v>254.20306609993727</v>
      </c>
      <c r="D52" s="213"/>
      <c r="E52" s="73">
        <v>323.289</v>
      </c>
      <c r="F52" s="73">
        <v>306.83</v>
      </c>
      <c r="G52" s="81">
        <v>27.0867942</v>
      </c>
      <c r="H52" s="82">
        <f t="shared" si="0"/>
        <v>16.459000000000003</v>
      </c>
    </row>
    <row r="53" spans="1:8" ht="15">
      <c r="A53" s="77" t="s">
        <v>88</v>
      </c>
      <c r="B53" s="78" t="s">
        <v>89</v>
      </c>
      <c r="C53" s="212">
        <v>62.356871069274696</v>
      </c>
      <c r="D53" s="213"/>
      <c r="E53" s="73">
        <v>61.011</v>
      </c>
      <c r="F53" s="73">
        <v>57.67</v>
      </c>
      <c r="G53" s="81">
        <v>4.999733999999999</v>
      </c>
      <c r="H53" s="82">
        <f t="shared" si="0"/>
        <v>3.341000000000001</v>
      </c>
    </row>
    <row r="54" spans="1:8" ht="15">
      <c r="A54" s="77" t="s">
        <v>90</v>
      </c>
      <c r="B54" s="78" t="s">
        <v>91</v>
      </c>
      <c r="C54" s="212">
        <v>277.6511611911113</v>
      </c>
      <c r="D54" s="213"/>
      <c r="E54" s="73">
        <v>265.784</v>
      </c>
      <c r="F54" s="73">
        <v>251.86</v>
      </c>
      <c r="G54" s="81">
        <v>21.057703200000002</v>
      </c>
      <c r="H54" s="82">
        <f t="shared" si="0"/>
        <v>13.923999999999978</v>
      </c>
    </row>
    <row r="55" spans="1:8" ht="27" customHeight="1">
      <c r="A55" s="77" t="s">
        <v>92</v>
      </c>
      <c r="B55" s="78" t="s">
        <v>93</v>
      </c>
      <c r="C55" s="212">
        <v>812.7069863626201</v>
      </c>
      <c r="D55" s="213"/>
      <c r="E55" s="73">
        <v>1018.257</v>
      </c>
      <c r="F55" s="73">
        <v>964.64</v>
      </c>
      <c r="G55" s="81">
        <v>82.7308926</v>
      </c>
      <c r="H55" s="82">
        <f t="shared" si="0"/>
        <v>53.61699999999996</v>
      </c>
    </row>
    <row r="56" spans="1:8" ht="15">
      <c r="A56" s="77" t="s">
        <v>94</v>
      </c>
      <c r="B56" s="78" t="s">
        <v>95</v>
      </c>
      <c r="C56" s="212">
        <v>344.95048317339047</v>
      </c>
      <c r="D56" s="213"/>
      <c r="E56" s="73">
        <v>312.069</v>
      </c>
      <c r="F56" s="73">
        <v>295.57</v>
      </c>
      <c r="G56" s="81">
        <v>26.4103596</v>
      </c>
      <c r="H56" s="82">
        <f t="shared" si="0"/>
        <v>16.499000000000024</v>
      </c>
    </row>
    <row r="57" spans="1:8" ht="27.75" customHeight="1">
      <c r="A57" s="77" t="s">
        <v>96</v>
      </c>
      <c r="B57" s="78" t="s">
        <v>97</v>
      </c>
      <c r="C57" s="212">
        <v>113.76213117309558</v>
      </c>
      <c r="D57" s="213"/>
      <c r="E57" s="73">
        <v>163.398</v>
      </c>
      <c r="F57" s="73">
        <v>154.99</v>
      </c>
      <c r="G57" s="81">
        <v>13.4404614</v>
      </c>
      <c r="H57" s="82">
        <f t="shared" si="0"/>
        <v>8.407999999999987</v>
      </c>
    </row>
    <row r="58" spans="1:8" s="158" customFormat="1" ht="15">
      <c r="A58" s="77" t="s">
        <v>98</v>
      </c>
      <c r="B58" s="78" t="s">
        <v>99</v>
      </c>
      <c r="C58" s="212">
        <v>278.9549097427845</v>
      </c>
      <c r="D58" s="213"/>
      <c r="E58" s="73">
        <v>270.693</v>
      </c>
      <c r="F58" s="73">
        <v>256.37</v>
      </c>
      <c r="G58" s="81">
        <v>22.3223418</v>
      </c>
      <c r="H58" s="82">
        <f t="shared" si="0"/>
        <v>14.322999999999979</v>
      </c>
    </row>
    <row r="59" spans="1:8" s="159" customFormat="1" ht="16.5">
      <c r="A59" s="77" t="s">
        <v>100</v>
      </c>
      <c r="B59" s="78" t="s">
        <v>101</v>
      </c>
      <c r="C59" s="212">
        <v>1207.5703535817147</v>
      </c>
      <c r="D59" s="213"/>
      <c r="E59" s="73">
        <v>1178.85</v>
      </c>
      <c r="F59" s="73">
        <v>1116.48</v>
      </c>
      <c r="G59" s="81">
        <v>95.7007908</v>
      </c>
      <c r="H59" s="82">
        <f t="shared" si="0"/>
        <v>62.36999999999989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>
        <f t="shared" si="0"/>
        <v>0</v>
      </c>
    </row>
    <row r="61" spans="1:8" ht="28.5">
      <c r="A61" s="77" t="s">
        <v>104</v>
      </c>
      <c r="B61" s="78" t="s">
        <v>105</v>
      </c>
      <c r="C61" s="212">
        <v>2.606254160025985</v>
      </c>
      <c r="D61" s="213"/>
      <c r="E61" s="73">
        <v>2.805</v>
      </c>
      <c r="F61" s="73">
        <v>2.25</v>
      </c>
      <c r="G61" s="81">
        <v>0.2058714</v>
      </c>
      <c r="H61" s="82">
        <f t="shared" si="0"/>
        <v>0.5550000000000002</v>
      </c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46.5" customHeight="1" hidden="1" thickBot="1" thickTop="1">
      <c r="A63" s="216" t="s">
        <v>108</v>
      </c>
      <c r="B63" s="217" t="s">
        <v>109</v>
      </c>
      <c r="C63" s="218">
        <v>-230.54048439999997</v>
      </c>
      <c r="D63" s="218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221">
        <v>7138.729471689493</v>
      </c>
      <c r="D64" s="222"/>
      <c r="E64" s="166">
        <v>6236.59865</v>
      </c>
      <c r="F64" s="166">
        <v>5708.63378</v>
      </c>
      <c r="G64" s="167">
        <v>180.7550892</v>
      </c>
      <c r="H64" s="168">
        <f>E64-F64</f>
        <v>527.9648699999998</v>
      </c>
    </row>
    <row r="65" spans="1:8" ht="15.75" thickTop="1">
      <c r="A65" s="169"/>
      <c r="B65" s="170" t="s">
        <v>113</v>
      </c>
      <c r="C65" s="223">
        <v>2854.6331826251285</v>
      </c>
      <c r="D65" s="224"/>
      <c r="E65" s="225">
        <v>2187.83349</v>
      </c>
      <c r="F65" s="225">
        <v>2043.438</v>
      </c>
      <c r="G65" s="163">
        <v>180.7550892</v>
      </c>
      <c r="H65" s="226">
        <f>E65-F65</f>
        <v>144.39548999999988</v>
      </c>
    </row>
    <row r="66" spans="1:8" ht="15">
      <c r="A66" s="101"/>
      <c r="B66" s="116" t="s">
        <v>114</v>
      </c>
      <c r="C66" s="227">
        <v>1128.9293777107018</v>
      </c>
      <c r="D66" s="228"/>
      <c r="E66" s="229">
        <v>1059.45914</v>
      </c>
      <c r="F66" s="229">
        <v>978.299</v>
      </c>
      <c r="G66" s="81"/>
      <c r="H66" s="179">
        <f>E66-F66</f>
        <v>81.16013999999996</v>
      </c>
    </row>
    <row r="67" spans="1:8" ht="15">
      <c r="A67" s="101"/>
      <c r="B67" s="116" t="s">
        <v>115</v>
      </c>
      <c r="C67" s="227">
        <v>975.2386195570731</v>
      </c>
      <c r="D67" s="228"/>
      <c r="E67" s="229">
        <v>934.02536</v>
      </c>
      <c r="F67" s="229">
        <v>854.044</v>
      </c>
      <c r="G67" s="119"/>
      <c r="H67" s="179">
        <f>E67-F67</f>
        <v>79.98136</v>
      </c>
    </row>
    <row r="68" spans="1:8" ht="15">
      <c r="A68" s="101"/>
      <c r="B68" s="116" t="s">
        <v>116</v>
      </c>
      <c r="C68" s="227">
        <v>1302.3870996475473</v>
      </c>
      <c r="D68" s="228"/>
      <c r="E68" s="229">
        <v>1250.96479</v>
      </c>
      <c r="F68" s="229">
        <v>1152.207</v>
      </c>
      <c r="G68" s="119"/>
      <c r="H68" s="179">
        <f>E68-F68</f>
        <v>98.75778999999989</v>
      </c>
    </row>
    <row r="69" spans="1:8" ht="15.75" thickBot="1">
      <c r="A69" s="105"/>
      <c r="B69" s="174" t="s">
        <v>117</v>
      </c>
      <c r="C69" s="227">
        <v>877.5411921490426</v>
      </c>
      <c r="D69" s="228"/>
      <c r="E69" s="230">
        <v>804.31587</v>
      </c>
      <c r="F69" s="230">
        <v>680.64578</v>
      </c>
      <c r="G69" s="231"/>
      <c r="H69" s="232">
        <f>116.0888+111.01619</f>
        <v>227.10499</v>
      </c>
    </row>
    <row r="70" spans="1:8" ht="19.5" thickBot="1" thickTop="1">
      <c r="A70" s="109" t="s">
        <v>118</v>
      </c>
      <c r="B70" s="233" t="s">
        <v>119</v>
      </c>
      <c r="C70" s="221">
        <v>12157.533034243923</v>
      </c>
      <c r="D70" s="222"/>
      <c r="E70" s="234">
        <v>10993.19565</v>
      </c>
      <c r="F70" s="234">
        <v>10214.20378</v>
      </c>
      <c r="G70" s="234">
        <v>568.6168068</v>
      </c>
      <c r="H70" s="235">
        <f>H25+H64</f>
        <v>778.9918699999998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52.87189</v>
      </c>
      <c r="F71" s="234">
        <v>51.76776</v>
      </c>
      <c r="G71" s="234">
        <v>0</v>
      </c>
      <c r="H71" s="235">
        <f>E71-F71</f>
        <v>1.1041299999999978</v>
      </c>
    </row>
    <row r="72" spans="1:8" ht="15.75" thickTop="1">
      <c r="A72" s="176"/>
      <c r="B72" s="170" t="s">
        <v>122</v>
      </c>
      <c r="C72" s="223"/>
      <c r="D72" s="224"/>
      <c r="E72" s="117">
        <v>52.87189</v>
      </c>
      <c r="F72" s="117">
        <v>51.76776</v>
      </c>
      <c r="G72" s="117"/>
      <c r="H72" s="226">
        <f>E72-F72</f>
        <v>1.1041299999999978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180.205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12.07483</v>
      </c>
      <c r="D75" s="239"/>
      <c r="E75" s="240">
        <v>12.07483</v>
      </c>
      <c r="F75" s="240">
        <v>11.04159</v>
      </c>
      <c r="G75" s="240"/>
      <c r="H75" s="241">
        <f>E75-F75</f>
        <v>1.033240000000001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9489.315999999999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3940.837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5529.114869999999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19.36413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1">
    <tabColor theme="9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421875" style="140" customWidth="1"/>
    <col min="3" max="3" width="15.28125" style="140" customWidth="1"/>
    <col min="4" max="4" width="9.8515625" style="140" customWidth="1"/>
    <col min="5" max="5" width="19.421875" style="140" customWidth="1"/>
    <col min="6" max="6" width="23.8515625" style="140" customWidth="1"/>
    <col min="7" max="7" width="19.421875" style="140" customWidth="1"/>
    <col min="8" max="8" width="16.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Молодежный</v>
      </c>
      <c r="E2" s="5"/>
      <c r="F2" s="5" t="s">
        <v>3</v>
      </c>
      <c r="G2" s="7">
        <f>D17</f>
        <v>25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160</v>
      </c>
      <c r="B17" s="32" t="s">
        <v>165</v>
      </c>
      <c r="C17" s="31" t="s">
        <v>3</v>
      </c>
      <c r="D17" s="31">
        <v>25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2105.81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1121.04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981.55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3.22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6176.470816938739</v>
      </c>
      <c r="D25" s="57">
        <v>0</v>
      </c>
      <c r="E25" s="58">
        <v>5574.9326</v>
      </c>
      <c r="F25" s="58">
        <v>5313.59</v>
      </c>
      <c r="G25" s="157">
        <v>39.7118904</v>
      </c>
      <c r="H25" s="59">
        <f>E25-F25</f>
        <v>261.34259999999995</v>
      </c>
    </row>
    <row r="26" spans="1:8" s="143" customFormat="1" ht="18">
      <c r="A26" s="60" t="s">
        <v>36</v>
      </c>
      <c r="B26" s="61" t="s">
        <v>37</v>
      </c>
      <c r="C26" s="62">
        <v>456.09</v>
      </c>
      <c r="D26" s="62"/>
      <c r="E26" s="63">
        <v>1301.6256</v>
      </c>
      <c r="F26" s="63">
        <v>1245.51</v>
      </c>
      <c r="G26" s="313">
        <v>9.6334056</v>
      </c>
      <c r="H26" s="64">
        <f>E26-F26</f>
        <v>56.115600000000086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5720.3808169387385</v>
      </c>
      <c r="D50" s="62">
        <v>0</v>
      </c>
      <c r="E50" s="63">
        <v>4273.307</v>
      </c>
      <c r="F50" s="63">
        <v>4068.0800000000004</v>
      </c>
      <c r="G50" s="63">
        <v>30.0784848</v>
      </c>
      <c r="H50" s="64">
        <f aca="true" t="shared" si="0" ref="H50:H61">E50-F50</f>
        <v>205.2269999999994</v>
      </c>
    </row>
    <row r="51" spans="1:8" s="158" customFormat="1" ht="15">
      <c r="A51" s="77" t="s">
        <v>84</v>
      </c>
      <c r="B51" s="78" t="s">
        <v>85</v>
      </c>
      <c r="C51" s="79">
        <v>586.1683115936112</v>
      </c>
      <c r="D51" s="80"/>
      <c r="E51" s="73">
        <v>279.377</v>
      </c>
      <c r="F51" s="73">
        <v>266.21</v>
      </c>
      <c r="G51" s="81">
        <v>1.9363344</v>
      </c>
      <c r="H51" s="82">
        <f t="shared" si="0"/>
        <v>13.16700000000003</v>
      </c>
    </row>
    <row r="52" spans="1:8" s="158" customFormat="1" ht="15">
      <c r="A52" s="77" t="s">
        <v>86</v>
      </c>
      <c r="B52" s="78" t="s">
        <v>87</v>
      </c>
      <c r="C52" s="79">
        <v>373.57895197889104</v>
      </c>
      <c r="D52" s="80"/>
      <c r="E52" s="73">
        <v>364.342</v>
      </c>
      <c r="F52" s="73">
        <v>345.38</v>
      </c>
      <c r="G52" s="81">
        <v>2.6716872</v>
      </c>
      <c r="H52" s="82">
        <f t="shared" si="0"/>
        <v>18.96199999999999</v>
      </c>
    </row>
    <row r="53" spans="1:8" s="158" customFormat="1" ht="15">
      <c r="A53" s="77" t="s">
        <v>88</v>
      </c>
      <c r="B53" s="78" t="s">
        <v>89</v>
      </c>
      <c r="C53" s="79">
        <v>72.86164877541445</v>
      </c>
      <c r="D53" s="80"/>
      <c r="E53" s="73">
        <v>68.877</v>
      </c>
      <c r="F53" s="73">
        <v>65.36</v>
      </c>
      <c r="G53" s="81">
        <v>0.49685999999999997</v>
      </c>
      <c r="H53" s="82">
        <f t="shared" si="0"/>
        <v>3.516999999999996</v>
      </c>
    </row>
    <row r="54" spans="1:8" s="158" customFormat="1" ht="15">
      <c r="A54" s="77" t="s">
        <v>90</v>
      </c>
      <c r="B54" s="78" t="s">
        <v>91</v>
      </c>
      <c r="C54" s="79">
        <v>335.8577212948382</v>
      </c>
      <c r="D54" s="80"/>
      <c r="E54" s="73">
        <v>293.308</v>
      </c>
      <c r="F54" s="73">
        <v>279.49</v>
      </c>
      <c r="G54" s="81">
        <v>2.0328672</v>
      </c>
      <c r="H54" s="82">
        <f t="shared" si="0"/>
        <v>13.817999999999984</v>
      </c>
    </row>
    <row r="55" spans="1:8" s="158" customFormat="1" ht="31.5" customHeight="1">
      <c r="A55" s="77" t="s">
        <v>92</v>
      </c>
      <c r="B55" s="78" t="s">
        <v>93</v>
      </c>
      <c r="C55" s="79">
        <v>1741.4665711521393</v>
      </c>
      <c r="D55" s="80"/>
      <c r="E55" s="73">
        <v>1167.04</v>
      </c>
      <c r="F55" s="73">
        <v>1111.6</v>
      </c>
      <c r="G55" s="81">
        <v>8.1229512</v>
      </c>
      <c r="H55" s="82">
        <f t="shared" si="0"/>
        <v>55.440000000000055</v>
      </c>
    </row>
    <row r="56" spans="1:8" s="158" customFormat="1" ht="15">
      <c r="A56" s="77" t="s">
        <v>94</v>
      </c>
      <c r="B56" s="78" t="s">
        <v>95</v>
      </c>
      <c r="C56" s="79">
        <v>178.8084107005923</v>
      </c>
      <c r="D56" s="80"/>
      <c r="E56" s="73">
        <v>160.971</v>
      </c>
      <c r="F56" s="73">
        <v>153.03</v>
      </c>
      <c r="G56" s="81">
        <v>1.1754288000000002</v>
      </c>
      <c r="H56" s="82">
        <f t="shared" si="0"/>
        <v>7.9410000000000025</v>
      </c>
    </row>
    <row r="57" spans="1:8" s="158" customFormat="1" ht="15">
      <c r="A57" s="77" t="s">
        <v>96</v>
      </c>
      <c r="B57" s="78" t="s">
        <v>97</v>
      </c>
      <c r="C57" s="79">
        <v>143.49076380344215</v>
      </c>
      <c r="D57" s="80"/>
      <c r="E57" s="73">
        <v>210.5</v>
      </c>
      <c r="F57" s="73">
        <v>200.32</v>
      </c>
      <c r="G57" s="81">
        <v>1.4110824000000002</v>
      </c>
      <c r="H57" s="82">
        <f t="shared" si="0"/>
        <v>10.180000000000007</v>
      </c>
    </row>
    <row r="58" spans="1:8" s="158" customFormat="1" ht="15">
      <c r="A58" s="77" t="s">
        <v>98</v>
      </c>
      <c r="B58" s="78" t="s">
        <v>99</v>
      </c>
      <c r="C58" s="79">
        <v>498.79657164786227</v>
      </c>
      <c r="D58" s="80"/>
      <c r="E58" s="73">
        <v>393.141</v>
      </c>
      <c r="F58" s="73">
        <v>374.61</v>
      </c>
      <c r="G58" s="81">
        <v>2.7710592</v>
      </c>
      <c r="H58" s="82">
        <f t="shared" si="0"/>
        <v>18.531000000000006</v>
      </c>
    </row>
    <row r="59" spans="1:8" s="158" customFormat="1" ht="15">
      <c r="A59" s="77" t="s">
        <v>100</v>
      </c>
      <c r="B59" s="78" t="s">
        <v>101</v>
      </c>
      <c r="C59" s="79">
        <v>1786.5891072419925</v>
      </c>
      <c r="D59" s="80"/>
      <c r="E59" s="73">
        <v>1332.655</v>
      </c>
      <c r="F59" s="73">
        <v>1269.42</v>
      </c>
      <c r="G59" s="81">
        <v>9.44034</v>
      </c>
      <c r="H59" s="82">
        <f t="shared" si="0"/>
        <v>63.2349999999999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2.762758749954588</v>
      </c>
      <c r="D61" s="80"/>
      <c r="E61" s="73">
        <v>3.096</v>
      </c>
      <c r="F61" s="73">
        <v>2.66</v>
      </c>
      <c r="G61" s="81">
        <v>0.0198744</v>
      </c>
      <c r="H61" s="82">
        <f t="shared" si="0"/>
        <v>0.43599999999999994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799.0534056000001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7278.476926000018</v>
      </c>
      <c r="D64" s="114"/>
      <c r="E64" s="112">
        <v>7186.365559999999</v>
      </c>
      <c r="F64" s="112">
        <v>7013.56741</v>
      </c>
      <c r="G64" s="112">
        <v>17.4497232</v>
      </c>
      <c r="H64" s="235">
        <f>E64-F64</f>
        <v>172.79814999999962</v>
      </c>
    </row>
    <row r="65" spans="1:8" ht="15.75" thickTop="1">
      <c r="A65" s="176"/>
      <c r="B65" s="170" t="s">
        <v>113</v>
      </c>
      <c r="C65" s="171">
        <v>2841.3581212155314</v>
      </c>
      <c r="D65" s="171"/>
      <c r="E65" s="163">
        <v>2422.33451</v>
      </c>
      <c r="F65" s="163">
        <v>2285.493</v>
      </c>
      <c r="G65" s="172">
        <v>17.4497232</v>
      </c>
      <c r="H65" s="226">
        <f>E65-F65</f>
        <v>136.8415100000002</v>
      </c>
    </row>
    <row r="66" spans="1:8" ht="15">
      <c r="A66" s="115"/>
      <c r="B66" s="116" t="s">
        <v>114</v>
      </c>
      <c r="C66" s="103">
        <v>1192.9660938733875</v>
      </c>
      <c r="D66" s="103"/>
      <c r="E66" s="81">
        <v>1287.114</v>
      </c>
      <c r="F66" s="81">
        <v>1228.868</v>
      </c>
      <c r="G66" s="81"/>
      <c r="H66" s="179">
        <f>E66-F66</f>
        <v>58.246000000000095</v>
      </c>
    </row>
    <row r="67" spans="1:8" ht="15">
      <c r="A67" s="115"/>
      <c r="B67" s="116" t="s">
        <v>115</v>
      </c>
      <c r="C67" s="103">
        <v>1026.7412122687183</v>
      </c>
      <c r="D67" s="103"/>
      <c r="E67" s="81">
        <v>1135.14182</v>
      </c>
      <c r="F67" s="81">
        <v>1081.081</v>
      </c>
      <c r="G67" s="81"/>
      <c r="H67" s="179">
        <f>E67-F67</f>
        <v>54.06082000000015</v>
      </c>
    </row>
    <row r="68" spans="1:8" ht="15">
      <c r="A68" s="115"/>
      <c r="B68" s="116" t="s">
        <v>116</v>
      </c>
      <c r="C68" s="103">
        <v>1382.9300037117412</v>
      </c>
      <c r="D68" s="103"/>
      <c r="E68" s="81">
        <v>1519.62782</v>
      </c>
      <c r="F68" s="81">
        <v>1442.575</v>
      </c>
      <c r="G68" s="81"/>
      <c r="H68" s="179">
        <f>E68-F68</f>
        <v>77.05281999999988</v>
      </c>
    </row>
    <row r="69" spans="1:8" ht="15.75" thickBot="1">
      <c r="A69" s="318"/>
      <c r="B69" s="174" t="s">
        <v>117</v>
      </c>
      <c r="C69" s="103">
        <v>834.4814949306397</v>
      </c>
      <c r="D69" s="103"/>
      <c r="E69" s="88">
        <v>822.1474099999999</v>
      </c>
      <c r="F69" s="88">
        <v>975.5504099999999</v>
      </c>
      <c r="G69" s="88"/>
      <c r="H69" s="232">
        <f>-37.56965-31.18684</f>
        <v>-68.75649</v>
      </c>
    </row>
    <row r="70" spans="1:8" ht="19.5" thickBot="1" thickTop="1">
      <c r="A70" s="165" t="s">
        <v>118</v>
      </c>
      <c r="B70" s="234" t="s">
        <v>119</v>
      </c>
      <c r="C70" s="114">
        <v>13454.947742938755</v>
      </c>
      <c r="D70" s="114"/>
      <c r="E70" s="112">
        <v>12761.298159999998</v>
      </c>
      <c r="F70" s="112">
        <v>12327.15741</v>
      </c>
      <c r="G70" s="112">
        <v>57.1616136</v>
      </c>
      <c r="H70" s="235">
        <f>H25+H64</f>
        <v>434.14074999999957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38.85504</v>
      </c>
      <c r="F71" s="112">
        <v>36.525549999999996</v>
      </c>
      <c r="G71" s="112">
        <v>0</v>
      </c>
      <c r="H71" s="235">
        <f>E71-F71</f>
        <v>2.329490000000007</v>
      </c>
    </row>
    <row r="72" spans="1:8" ht="15.75" thickTop="1">
      <c r="A72" s="115"/>
      <c r="B72" s="116" t="s">
        <v>122</v>
      </c>
      <c r="C72" s="118"/>
      <c r="D72" s="118"/>
      <c r="E72" s="81">
        <v>38.85504</v>
      </c>
      <c r="F72" s="81">
        <v>36.525549999999996</v>
      </c>
      <c r="G72" s="119"/>
      <c r="H72" s="179">
        <f>E72-F72</f>
        <v>2.329490000000007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110.859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0</v>
      </c>
      <c r="D75" s="114"/>
      <c r="E75" s="323"/>
      <c r="F75" s="348"/>
      <c r="G75" s="180"/>
      <c r="H75" s="234">
        <f>E75-F75</f>
        <v>0</v>
      </c>
    </row>
    <row r="76" spans="1:8" ht="21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2542.2802399999996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1382.3826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1154.3481499999996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5.549490000000008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theme="5" tint="0.5999900102615356"/>
  </sheetPr>
  <dimension ref="A1:H104"/>
  <sheetViews>
    <sheetView zoomScaleSheetLayoutView="80" zoomScalePageLayoutView="0" workbookViewId="0" topLeftCell="A1">
      <selection activeCell="F72" sqref="F72"/>
    </sheetView>
  </sheetViews>
  <sheetFormatPr defaultColWidth="9.140625" defaultRowHeight="15"/>
  <cols>
    <col min="1" max="1" width="8.57421875" style="187" customWidth="1"/>
    <col min="2" max="2" width="52.28125" style="140" customWidth="1"/>
    <col min="3" max="3" width="15.00390625" style="140" customWidth="1"/>
    <col min="4" max="4" width="9.421875" style="140" customWidth="1"/>
    <col min="5" max="5" width="19.140625" style="140" customWidth="1"/>
    <col min="6" max="6" width="27.421875" style="140" customWidth="1"/>
    <col min="7" max="7" width="25.00390625" style="140" customWidth="1"/>
    <col min="8" max="8" width="16.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 t="str">
        <f>D17</f>
        <v>1а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 t="s">
        <v>149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687.4200000000001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493.87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163.59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29.96</v>
      </c>
      <c r="F22" s="8" t="s">
        <v>20</v>
      </c>
      <c r="G22" s="30"/>
    </row>
    <row r="23" spans="1:8" s="149" customFormat="1" ht="84.7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2442.3179260699253</v>
      </c>
      <c r="D25" s="57">
        <v>0</v>
      </c>
      <c r="E25" s="58">
        <v>2716.1409999999996</v>
      </c>
      <c r="F25" s="58">
        <v>2838.57</v>
      </c>
      <c r="G25" s="157">
        <v>0</v>
      </c>
      <c r="H25" s="59">
        <f>E25-F25</f>
        <v>-122.42900000000054</v>
      </c>
    </row>
    <row r="26" spans="1:8" s="143" customFormat="1" ht="18">
      <c r="A26" s="60" t="s">
        <v>36</v>
      </c>
      <c r="B26" s="61" t="s">
        <v>37</v>
      </c>
      <c r="C26" s="62">
        <v>320.97668</v>
      </c>
      <c r="D26" s="62"/>
      <c r="E26" s="63">
        <v>447.028</v>
      </c>
      <c r="F26" s="63">
        <v>467.23</v>
      </c>
      <c r="G26" s="63">
        <v>0</v>
      </c>
      <c r="H26" s="64">
        <f>E26-F26</f>
        <v>-20.201999999999998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2121.3412460699255</v>
      </c>
      <c r="D50" s="62">
        <v>0</v>
      </c>
      <c r="E50" s="63">
        <v>2269.113</v>
      </c>
      <c r="F50" s="63">
        <v>2371.34</v>
      </c>
      <c r="G50" s="63">
        <v>0</v>
      </c>
      <c r="H50" s="64">
        <f aca="true" t="shared" si="0" ref="H50:H62">E50-F50</f>
        <v>-102.22700000000032</v>
      </c>
    </row>
    <row r="51" spans="1:8" ht="15">
      <c r="A51" s="77" t="s">
        <v>84</v>
      </c>
      <c r="B51" s="78" t="s">
        <v>85</v>
      </c>
      <c r="C51" s="79">
        <v>287.79204752287615</v>
      </c>
      <c r="D51" s="80"/>
      <c r="E51" s="73">
        <v>147.61</v>
      </c>
      <c r="F51" s="73">
        <v>154.13</v>
      </c>
      <c r="G51" s="81">
        <v>0</v>
      </c>
      <c r="H51" s="82">
        <f t="shared" si="0"/>
        <v>-6.519999999999982</v>
      </c>
    </row>
    <row r="52" spans="1:8" s="158" customFormat="1" ht="15">
      <c r="A52" s="77" t="s">
        <v>86</v>
      </c>
      <c r="B52" s="78" t="s">
        <v>87</v>
      </c>
      <c r="C52" s="79">
        <v>316.50734601221615</v>
      </c>
      <c r="D52" s="80"/>
      <c r="E52" s="73">
        <v>402.526</v>
      </c>
      <c r="F52" s="73">
        <v>420.67</v>
      </c>
      <c r="G52" s="81">
        <v>0</v>
      </c>
      <c r="H52" s="82">
        <f t="shared" si="0"/>
        <v>-18.144000000000005</v>
      </c>
    </row>
    <row r="53" spans="1:8" s="159" customFormat="1" ht="16.5">
      <c r="A53" s="77" t="s">
        <v>88</v>
      </c>
      <c r="B53" s="78" t="s">
        <v>89</v>
      </c>
      <c r="C53" s="79">
        <v>63.128525978345216</v>
      </c>
      <c r="D53" s="80"/>
      <c r="E53" s="73">
        <v>61.766</v>
      </c>
      <c r="F53" s="73">
        <v>64.44</v>
      </c>
      <c r="G53" s="81">
        <v>0</v>
      </c>
      <c r="H53" s="82">
        <f t="shared" si="0"/>
        <v>-2.6739999999999995</v>
      </c>
    </row>
    <row r="54" spans="1:8" s="160" customFormat="1" ht="15">
      <c r="A54" s="77" t="s">
        <v>90</v>
      </c>
      <c r="B54" s="78" t="s">
        <v>91</v>
      </c>
      <c r="C54" s="79">
        <v>207.24177513220295</v>
      </c>
      <c r="D54" s="80"/>
      <c r="E54" s="73">
        <v>198.384</v>
      </c>
      <c r="F54" s="73">
        <v>207.22</v>
      </c>
      <c r="G54" s="81">
        <v>0</v>
      </c>
      <c r="H54" s="82">
        <f t="shared" si="0"/>
        <v>-8.836000000000013</v>
      </c>
    </row>
    <row r="55" spans="1:8" ht="31.5" customHeight="1">
      <c r="A55" s="77" t="s">
        <v>92</v>
      </c>
      <c r="B55" s="78" t="s">
        <v>93</v>
      </c>
      <c r="C55" s="79">
        <v>786.2559801480362</v>
      </c>
      <c r="D55" s="80"/>
      <c r="E55" s="73">
        <v>985.116</v>
      </c>
      <c r="F55" s="73">
        <v>1029.55</v>
      </c>
      <c r="G55" s="81">
        <v>0</v>
      </c>
      <c r="H55" s="82">
        <f t="shared" si="0"/>
        <v>-44.43399999999997</v>
      </c>
    </row>
    <row r="56" spans="1:8" ht="15">
      <c r="A56" s="77" t="s">
        <v>94</v>
      </c>
      <c r="B56" s="78" t="s">
        <v>95</v>
      </c>
      <c r="C56" s="79">
        <v>231.43712565141618</v>
      </c>
      <c r="D56" s="80"/>
      <c r="E56" s="73">
        <v>209.376</v>
      </c>
      <c r="F56" s="73">
        <v>219.14</v>
      </c>
      <c r="G56" s="81">
        <v>0</v>
      </c>
      <c r="H56" s="82">
        <f t="shared" si="0"/>
        <v>-9.763999999999982</v>
      </c>
    </row>
    <row r="57" spans="1:8" ht="17.25" customHeight="1">
      <c r="A57" s="77" t="s">
        <v>96</v>
      </c>
      <c r="B57" s="78" t="s">
        <v>97</v>
      </c>
      <c r="C57" s="79">
        <v>22.59466115228137</v>
      </c>
      <c r="D57" s="80"/>
      <c r="E57" s="73">
        <v>32.453</v>
      </c>
      <c r="F57" s="73">
        <v>33.78</v>
      </c>
      <c r="G57" s="81">
        <v>0</v>
      </c>
      <c r="H57" s="82">
        <f t="shared" si="0"/>
        <v>-1.3269999999999982</v>
      </c>
    </row>
    <row r="58" spans="1:8" ht="15">
      <c r="A58" s="77" t="s">
        <v>98</v>
      </c>
      <c r="B58" s="78" t="s">
        <v>99</v>
      </c>
      <c r="C58" s="79">
        <v>131.61715344482013</v>
      </c>
      <c r="D58" s="80"/>
      <c r="E58" s="73">
        <v>127.719</v>
      </c>
      <c r="F58" s="73">
        <v>133.41</v>
      </c>
      <c r="G58" s="81">
        <v>0</v>
      </c>
      <c r="H58" s="82">
        <f t="shared" si="0"/>
        <v>-5.6910000000000025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1.9447023019373928</v>
      </c>
      <c r="D61" s="80"/>
      <c r="E61" s="73">
        <v>2.093</v>
      </c>
      <c r="F61" s="73">
        <v>2.27</v>
      </c>
      <c r="G61" s="81">
        <v>0</v>
      </c>
      <c r="H61" s="82">
        <f t="shared" si="0"/>
        <v>-0.17700000000000005</v>
      </c>
    </row>
    <row r="62" spans="1:8" s="143" customFormat="1" ht="15.75" thickBot="1">
      <c r="A62" s="83" t="s">
        <v>106</v>
      </c>
      <c r="B62" s="84" t="s">
        <v>107</v>
      </c>
      <c r="C62" s="85">
        <v>72.82192872579407</v>
      </c>
      <c r="D62" s="86"/>
      <c r="E62" s="87">
        <v>102.07</v>
      </c>
      <c r="F62" s="87">
        <v>106.73</v>
      </c>
      <c r="G62" s="88">
        <v>0</v>
      </c>
      <c r="H62" s="89">
        <f t="shared" si="0"/>
        <v>-4.660000000000011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146.25332000000003</v>
      </c>
      <c r="D63" s="93"/>
      <c r="E63" s="94" t="s">
        <v>110</v>
      </c>
      <c r="F63" s="94"/>
      <c r="G63" s="163">
        <v>0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2825.4685107150017</v>
      </c>
      <c r="D64" s="111"/>
      <c r="E64" s="167">
        <v>2714.0079469999996</v>
      </c>
      <c r="F64" s="167">
        <v>2731.25429</v>
      </c>
      <c r="G64" s="167">
        <v>0</v>
      </c>
      <c r="H64" s="168">
        <f>E64-F64</f>
        <v>-17.246343000000252</v>
      </c>
    </row>
    <row r="65" spans="1:8" ht="15.75" thickTop="1">
      <c r="A65" s="169"/>
      <c r="B65" s="170" t="s">
        <v>113</v>
      </c>
      <c r="C65" s="171">
        <v>1665.1082531443121</v>
      </c>
      <c r="D65" s="171"/>
      <c r="E65" s="172">
        <v>1625.05207</v>
      </c>
      <c r="F65" s="172">
        <v>1692.528</v>
      </c>
      <c r="G65" s="163">
        <v>0</v>
      </c>
      <c r="H65" s="173">
        <f>E65-F65</f>
        <v>-67.47593000000006</v>
      </c>
    </row>
    <row r="66" spans="1:8" ht="15">
      <c r="A66" s="101"/>
      <c r="B66" s="116" t="s">
        <v>114</v>
      </c>
      <c r="C66" s="103">
        <v>297.44659976761034</v>
      </c>
      <c r="D66" s="103"/>
      <c r="E66" s="73">
        <v>279.14281</v>
      </c>
      <c r="F66" s="73">
        <v>276.096</v>
      </c>
      <c r="G66" s="81"/>
      <c r="H66" s="104">
        <f>E66-F66</f>
        <v>3.0468099999999936</v>
      </c>
    </row>
    <row r="67" spans="1:8" ht="15">
      <c r="A67" s="101"/>
      <c r="B67" s="116" t="s">
        <v>115</v>
      </c>
      <c r="C67" s="103">
        <v>260.8325215985081</v>
      </c>
      <c r="D67" s="103"/>
      <c r="E67" s="73">
        <v>244.78183</v>
      </c>
      <c r="F67" s="73">
        <v>241.987</v>
      </c>
      <c r="G67" s="81"/>
      <c r="H67" s="104">
        <f>E67-F67</f>
        <v>2.794830000000019</v>
      </c>
    </row>
    <row r="68" spans="1:8" ht="15">
      <c r="A68" s="101"/>
      <c r="B68" s="116" t="s">
        <v>116</v>
      </c>
      <c r="C68" s="103">
        <v>349.9227101249845</v>
      </c>
      <c r="D68" s="103"/>
      <c r="E68" s="73">
        <v>328.38973</v>
      </c>
      <c r="F68" s="73">
        <v>323.378</v>
      </c>
      <c r="G68" s="81"/>
      <c r="H68" s="104">
        <f>E68-F68</f>
        <v>5.01173</v>
      </c>
    </row>
    <row r="69" spans="1:8" ht="15.75" thickBot="1">
      <c r="A69" s="105"/>
      <c r="B69" s="174" t="s">
        <v>117</v>
      </c>
      <c r="C69" s="107">
        <v>252.15842607958686</v>
      </c>
      <c r="D69" s="107"/>
      <c r="E69" s="87">
        <v>236.641507</v>
      </c>
      <c r="F69" s="87">
        <v>197.26529</v>
      </c>
      <c r="G69" s="88"/>
      <c r="H69" s="108">
        <f>22.9593+4.2082628</f>
        <v>27.1675628</v>
      </c>
    </row>
    <row r="70" spans="1:8" ht="20.25" customHeight="1" thickBot="1" thickTop="1">
      <c r="A70" s="175" t="s">
        <v>118</v>
      </c>
      <c r="B70" s="166" t="s">
        <v>119</v>
      </c>
      <c r="C70" s="111">
        <v>5267.786436784927</v>
      </c>
      <c r="D70" s="111"/>
      <c r="E70" s="166">
        <v>5430.148947</v>
      </c>
      <c r="F70" s="166">
        <v>5569.8242900000005</v>
      </c>
      <c r="G70" s="166">
        <v>0</v>
      </c>
      <c r="H70" s="168">
        <f>H25+H64</f>
        <v>-139.6753430000008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150.2577</v>
      </c>
      <c r="F71" s="166">
        <v>161.64641</v>
      </c>
      <c r="G71" s="166">
        <v>0</v>
      </c>
      <c r="H71" s="168">
        <f>E71-F71</f>
        <v>-11.388710000000003</v>
      </c>
    </row>
    <row r="72" spans="1:8" ht="15.75" thickTop="1">
      <c r="A72" s="176"/>
      <c r="B72" s="170" t="s">
        <v>122</v>
      </c>
      <c r="C72" s="177"/>
      <c r="D72" s="177"/>
      <c r="E72" s="117">
        <v>150.2577</v>
      </c>
      <c r="F72" s="117">
        <v>161.64641</v>
      </c>
      <c r="G72" s="117"/>
      <c r="H72" s="104">
        <f>E72-F72</f>
        <v>-11.388710000000003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613.368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1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536.3559469999992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371.44099999999946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146.34365699999975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18.571289999999998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2">
    <tabColor theme="7" tint="0.39998000860214233"/>
  </sheetPr>
  <dimension ref="A1:H104"/>
  <sheetViews>
    <sheetView zoomScale="85" zoomScaleNormal="85" zoomScaleSheetLayoutView="85" zoomScalePageLayoutView="0" workbookViewId="0" topLeftCell="A1">
      <selection activeCell="F55" sqref="F55"/>
    </sheetView>
  </sheetViews>
  <sheetFormatPr defaultColWidth="9.140625" defaultRowHeight="15"/>
  <cols>
    <col min="1" max="1" width="8.57421875" style="187" customWidth="1"/>
    <col min="2" max="2" width="52.8515625" style="140" customWidth="1"/>
    <col min="3" max="3" width="17.140625" style="140" customWidth="1"/>
    <col min="4" max="4" width="7.7109375" style="140" customWidth="1"/>
    <col min="5" max="5" width="18.28125" style="140" customWidth="1"/>
    <col min="6" max="6" width="25.28125" style="140" customWidth="1"/>
    <col min="7" max="7" width="23.00390625" style="140" customWidth="1"/>
    <col min="8" max="8" width="18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">
        <v>167</v>
      </c>
      <c r="E2" s="5"/>
      <c r="F2" s="5" t="s">
        <v>3</v>
      </c>
      <c r="G2" s="7">
        <f>D17</f>
        <v>31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91" t="s">
        <v>157</v>
      </c>
      <c r="E4" s="192"/>
      <c r="F4" s="193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94"/>
      <c r="E5" s="18"/>
      <c r="F5" s="18"/>
      <c r="G5" s="19"/>
      <c r="H5" s="15"/>
    </row>
    <row r="6" spans="1:8" ht="14.25">
      <c r="A6" s="15">
        <v>2</v>
      </c>
      <c r="B6" s="15"/>
      <c r="C6" s="16"/>
      <c r="D6" s="194"/>
      <c r="E6" s="18"/>
      <c r="F6" s="18"/>
      <c r="G6" s="19"/>
      <c r="H6" s="15"/>
    </row>
    <row r="7" spans="1:8" ht="14.25">
      <c r="A7" s="15">
        <v>3</v>
      </c>
      <c r="B7" s="15"/>
      <c r="C7" s="16"/>
      <c r="D7" s="194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27" customHeight="1">
      <c r="A13" s="26"/>
      <c r="B13" s="26"/>
      <c r="C13" s="26"/>
      <c r="D13" s="26"/>
      <c r="E13" s="26"/>
      <c r="F13" s="26"/>
      <c r="G13" s="26"/>
      <c r="H13" s="26"/>
    </row>
    <row r="14" spans="1:8" ht="9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8" s="143" customFormat="1" ht="18" customHeight="1">
      <c r="A16" s="195" t="s">
        <v>15</v>
      </c>
      <c r="B16" s="195"/>
      <c r="C16" s="195"/>
      <c r="D16" s="195"/>
      <c r="E16" s="195"/>
      <c r="F16" s="195"/>
      <c r="G16" s="195"/>
      <c r="H16" s="195"/>
    </row>
    <row r="17" spans="1:8" s="145" customFormat="1" ht="18">
      <c r="A17" s="196" t="s">
        <v>16</v>
      </c>
      <c r="B17" s="197" t="s">
        <v>167</v>
      </c>
      <c r="C17" s="196" t="s">
        <v>3</v>
      </c>
      <c r="D17" s="196">
        <v>31</v>
      </c>
      <c r="E17" s="196" t="s">
        <v>18</v>
      </c>
      <c r="F17" s="196"/>
      <c r="G17" s="196"/>
      <c r="H17" s="198"/>
    </row>
    <row r="18" spans="1:8" s="141" customFormat="1" ht="10.5" customHeight="1">
      <c r="A18" s="199"/>
      <c r="B18" s="200"/>
      <c r="C18" s="201"/>
      <c r="D18" s="201"/>
      <c r="E18" s="201"/>
      <c r="F18" s="201"/>
      <c r="G18" s="201"/>
      <c r="H18" s="201"/>
    </row>
    <row r="19" spans="1:8" s="141" customFormat="1" ht="18">
      <c r="A19" s="35"/>
      <c r="B19" s="32" t="s">
        <v>145</v>
      </c>
      <c r="C19" s="8"/>
      <c r="D19" s="8"/>
      <c r="E19" s="350">
        <f>E20+E21+E22</f>
        <v>7046.490000000001</v>
      </c>
      <c r="F19" s="39" t="s">
        <v>20</v>
      </c>
      <c r="G19" s="8"/>
      <c r="H19" s="8"/>
    </row>
    <row r="20" spans="1:8" s="141" customFormat="1" ht="15.75">
      <c r="A20" s="35"/>
      <c r="B20" s="8" t="s">
        <v>21</v>
      </c>
      <c r="C20" s="8"/>
      <c r="D20" s="8"/>
      <c r="E20" s="204">
        <v>3086.78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3946.07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13.64</v>
      </c>
      <c r="F22" s="8" t="s">
        <v>20</v>
      </c>
      <c r="G22" s="30"/>
      <c r="H22" s="30"/>
    </row>
    <row r="23" spans="1:8" s="149" customFormat="1" ht="69.75" customHeight="1">
      <c r="A23" s="148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151"/>
      <c r="B24" s="151"/>
      <c r="C24" s="205" t="s">
        <v>30</v>
      </c>
      <c r="D24" s="206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207">
        <v>4363.113126307277</v>
      </c>
      <c r="D25" s="208"/>
      <c r="E25" s="58">
        <v>4601.4</v>
      </c>
      <c r="F25" s="58">
        <v>4486.19</v>
      </c>
      <c r="G25" s="157">
        <v>388.7083872</v>
      </c>
      <c r="H25" s="59">
        <f>E25-F25</f>
        <v>115.21000000000004</v>
      </c>
    </row>
    <row r="26" spans="1:8" s="143" customFormat="1" ht="18">
      <c r="A26" s="60" t="s">
        <v>36</v>
      </c>
      <c r="B26" s="61" t="s">
        <v>37</v>
      </c>
      <c r="C26" s="210">
        <v>682.2611899999999</v>
      </c>
      <c r="D26" s="211"/>
      <c r="E26" s="63">
        <v>926.492</v>
      </c>
      <c r="F26" s="63">
        <v>903.07</v>
      </c>
      <c r="G26" s="63">
        <v>73.03756320000001</v>
      </c>
      <c r="H26" s="64">
        <f>E26-F26</f>
        <v>23.421999999999912</v>
      </c>
    </row>
    <row r="27" spans="1:8" s="143" customFormat="1" ht="15.75" hidden="1">
      <c r="A27" s="65"/>
      <c r="B27" s="66" t="s">
        <v>38</v>
      </c>
      <c r="C27" s="67" t="s">
        <v>39</v>
      </c>
      <c r="D27" s="67"/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210">
        <v>3680.851936307277</v>
      </c>
      <c r="D50" s="211"/>
      <c r="E50" s="63">
        <v>3674.908</v>
      </c>
      <c r="F50" s="63">
        <v>3583.12</v>
      </c>
      <c r="G50" s="63">
        <v>315.67082400000004</v>
      </c>
      <c r="H50" s="64">
        <f aca="true" t="shared" si="0" ref="H50:H61">E50-F50</f>
        <v>91.78800000000001</v>
      </c>
    </row>
    <row r="51" spans="1:8" ht="15">
      <c r="A51" s="77" t="s">
        <v>84</v>
      </c>
      <c r="B51" s="78" t="s">
        <v>85</v>
      </c>
      <c r="C51" s="212">
        <v>484.5594536074992</v>
      </c>
      <c r="D51" s="213"/>
      <c r="E51" s="73">
        <v>248.533</v>
      </c>
      <c r="F51" s="73">
        <v>241.36</v>
      </c>
      <c r="G51" s="81">
        <v>21.074196000000004</v>
      </c>
      <c r="H51" s="82">
        <f t="shared" si="0"/>
        <v>7.172999999999973</v>
      </c>
    </row>
    <row r="52" spans="1:8" ht="15">
      <c r="A52" s="77" t="s">
        <v>86</v>
      </c>
      <c r="B52" s="78" t="s">
        <v>87</v>
      </c>
      <c r="C52" s="212">
        <v>242.21430635609894</v>
      </c>
      <c r="D52" s="213"/>
      <c r="E52" s="73">
        <v>308.042</v>
      </c>
      <c r="F52" s="73">
        <v>300.13</v>
      </c>
      <c r="G52" s="81">
        <v>27.145922400000003</v>
      </c>
      <c r="H52" s="82">
        <f t="shared" si="0"/>
        <v>7.911999999999978</v>
      </c>
    </row>
    <row r="53" spans="1:8" ht="15">
      <c r="A53" s="77" t="s">
        <v>88</v>
      </c>
      <c r="B53" s="78" t="s">
        <v>89</v>
      </c>
      <c r="C53" s="212">
        <v>59.41538387946675</v>
      </c>
      <c r="D53" s="213"/>
      <c r="E53" s="73">
        <v>58.133</v>
      </c>
      <c r="F53" s="73">
        <v>56.53</v>
      </c>
      <c r="G53" s="81">
        <v>5.010648</v>
      </c>
      <c r="H53" s="82">
        <f t="shared" si="0"/>
        <v>1.6030000000000015</v>
      </c>
    </row>
    <row r="54" spans="1:8" ht="15">
      <c r="A54" s="77" t="s">
        <v>90</v>
      </c>
      <c r="B54" s="78" t="s">
        <v>91</v>
      </c>
      <c r="C54" s="212">
        <v>264.53767420005084</v>
      </c>
      <c r="D54" s="213"/>
      <c r="E54" s="73">
        <v>253.231</v>
      </c>
      <c r="F54" s="73">
        <v>245.72</v>
      </c>
      <c r="G54" s="81">
        <v>21.103670400000002</v>
      </c>
      <c r="H54" s="82">
        <f t="shared" si="0"/>
        <v>7.510999999999996</v>
      </c>
    </row>
    <row r="55" spans="1:8" ht="30.75" customHeight="1">
      <c r="A55" s="77" t="s">
        <v>92</v>
      </c>
      <c r="B55" s="78" t="s">
        <v>93</v>
      </c>
      <c r="C55" s="212">
        <v>774.4108522632216</v>
      </c>
      <c r="D55" s="213"/>
      <c r="E55" s="73">
        <v>970.275</v>
      </c>
      <c r="F55" s="73">
        <v>951.06</v>
      </c>
      <c r="G55" s="81">
        <v>82.9114872</v>
      </c>
      <c r="H55" s="82">
        <f t="shared" si="0"/>
        <v>19.215000000000032</v>
      </c>
    </row>
    <row r="56" spans="1:8" ht="15">
      <c r="A56" s="77" t="s">
        <v>94</v>
      </c>
      <c r="B56" s="78" t="s">
        <v>95</v>
      </c>
      <c r="C56" s="212">
        <v>328.14449749019786</v>
      </c>
      <c r="D56" s="213"/>
      <c r="E56" s="73">
        <v>296.865</v>
      </c>
      <c r="F56" s="73">
        <v>288.91</v>
      </c>
      <c r="G56" s="81">
        <v>26.468011200000003</v>
      </c>
      <c r="H56" s="82">
        <f t="shared" si="0"/>
        <v>7.954999999999984</v>
      </c>
    </row>
    <row r="57" spans="1:8" ht="27.75" customHeight="1">
      <c r="A57" s="77" t="s">
        <v>96</v>
      </c>
      <c r="B57" s="78" t="s">
        <v>97</v>
      </c>
      <c r="C57" s="212">
        <v>108.44225917776134</v>
      </c>
      <c r="D57" s="213"/>
      <c r="E57" s="73">
        <v>155.757</v>
      </c>
      <c r="F57" s="73">
        <v>151.18</v>
      </c>
      <c r="G57" s="81">
        <v>13.4698008</v>
      </c>
      <c r="H57" s="82">
        <f t="shared" si="0"/>
        <v>4.576999999999998</v>
      </c>
    </row>
    <row r="58" spans="1:8" s="158" customFormat="1" ht="15">
      <c r="A58" s="77" t="s">
        <v>98</v>
      </c>
      <c r="B58" s="78" t="s">
        <v>99</v>
      </c>
      <c r="C58" s="212">
        <v>266.0259891662163</v>
      </c>
      <c r="D58" s="213"/>
      <c r="E58" s="73">
        <v>258.147</v>
      </c>
      <c r="F58" s="73">
        <v>250.33</v>
      </c>
      <c r="G58" s="81">
        <v>22.3710696</v>
      </c>
      <c r="H58" s="82">
        <f t="shared" si="0"/>
        <v>7.816999999999979</v>
      </c>
    </row>
    <row r="59" spans="1:8" s="159" customFormat="1" ht="16.5">
      <c r="A59" s="77" t="s">
        <v>100</v>
      </c>
      <c r="B59" s="78" t="s">
        <v>101</v>
      </c>
      <c r="C59" s="212">
        <v>1150.618842407195</v>
      </c>
      <c r="D59" s="213"/>
      <c r="E59" s="73">
        <v>1123.253</v>
      </c>
      <c r="F59" s="73">
        <v>1095.21</v>
      </c>
      <c r="G59" s="81">
        <v>95.9096976</v>
      </c>
      <c r="H59" s="82">
        <f t="shared" si="0"/>
        <v>28.042999999999893</v>
      </c>
    </row>
    <row r="60" spans="1:8" s="160" customFormat="1" ht="28.5" hidden="1">
      <c r="A60" s="77" t="s">
        <v>102</v>
      </c>
      <c r="B60" s="78" t="s">
        <v>103</v>
      </c>
      <c r="C60" s="212"/>
      <c r="D60" s="213"/>
      <c r="E60" s="73"/>
      <c r="F60" s="73"/>
      <c r="G60" s="81"/>
      <c r="H60" s="82">
        <f t="shared" si="0"/>
        <v>0</v>
      </c>
    </row>
    <row r="61" spans="1:8" ht="28.5">
      <c r="A61" s="77" t="s">
        <v>104</v>
      </c>
      <c r="B61" s="78" t="s">
        <v>105</v>
      </c>
      <c r="C61" s="212">
        <v>2.482677759568425</v>
      </c>
      <c r="D61" s="213"/>
      <c r="E61" s="73">
        <v>2.672</v>
      </c>
      <c r="F61" s="73">
        <v>2.69</v>
      </c>
      <c r="G61" s="81">
        <v>0.20632080000000003</v>
      </c>
      <c r="H61" s="82">
        <f t="shared" si="0"/>
        <v>-0.017999999999999794</v>
      </c>
    </row>
    <row r="62" spans="1:8" ht="15.75" thickBot="1">
      <c r="A62" s="83" t="s">
        <v>106</v>
      </c>
      <c r="B62" s="84" t="s">
        <v>107</v>
      </c>
      <c r="C62" s="214">
        <v>0</v>
      </c>
      <c r="D62" s="215"/>
      <c r="E62" s="87"/>
      <c r="F62" s="87"/>
      <c r="G62" s="88">
        <v>0</v>
      </c>
      <c r="H62" s="89"/>
    </row>
    <row r="63" spans="1:8" ht="46.5" customHeight="1" hidden="1" thickBot="1" thickTop="1">
      <c r="A63" s="216" t="s">
        <v>108</v>
      </c>
      <c r="B63" s="217" t="s">
        <v>109</v>
      </c>
      <c r="C63" s="218">
        <v>293.84637320000013</v>
      </c>
      <c r="D63" s="218"/>
      <c r="E63" s="219" t="s">
        <v>110</v>
      </c>
      <c r="F63" s="219"/>
      <c r="G63" s="94"/>
      <c r="H63" s="220"/>
    </row>
    <row r="64" spans="1:8" s="141" customFormat="1" ht="19.5" thickBot="1" thickTop="1">
      <c r="A64" s="165" t="s">
        <v>111</v>
      </c>
      <c r="B64" s="166" t="s">
        <v>112</v>
      </c>
      <c r="C64" s="221">
        <v>6847.798837838325</v>
      </c>
      <c r="D64" s="222"/>
      <c r="E64" s="166">
        <v>6030.23265</v>
      </c>
      <c r="F64" s="166">
        <v>5817.23654</v>
      </c>
      <c r="G64" s="167">
        <v>181.1496624</v>
      </c>
      <c r="H64" s="168">
        <f>E64-F64</f>
        <v>212.99611000000004</v>
      </c>
    </row>
    <row r="65" spans="1:8" ht="15.75" thickTop="1">
      <c r="A65" s="169"/>
      <c r="B65" s="170" t="s">
        <v>113</v>
      </c>
      <c r="C65" s="223">
        <v>2714.1113427499736</v>
      </c>
      <c r="D65" s="224"/>
      <c r="E65" s="225">
        <v>2116.8575</v>
      </c>
      <c r="F65" s="225">
        <v>2049.148</v>
      </c>
      <c r="G65" s="163">
        <v>181.1496624</v>
      </c>
      <c r="H65" s="226">
        <f>E65-F65</f>
        <v>67.70949999999993</v>
      </c>
    </row>
    <row r="66" spans="1:8" ht="15">
      <c r="A66" s="101"/>
      <c r="B66" s="116" t="s">
        <v>114</v>
      </c>
      <c r="C66" s="227">
        <v>1154.2182218705811</v>
      </c>
      <c r="D66" s="228"/>
      <c r="E66" s="229">
        <v>1083.1918</v>
      </c>
      <c r="F66" s="229">
        <v>1018.636</v>
      </c>
      <c r="G66" s="81"/>
      <c r="H66" s="179">
        <f>E66-F66</f>
        <v>64.55580000000009</v>
      </c>
    </row>
    <row r="67" spans="1:8" ht="15">
      <c r="A67" s="101"/>
      <c r="B67" s="116" t="s">
        <v>115</v>
      </c>
      <c r="C67" s="227">
        <v>993.7807331058561</v>
      </c>
      <c r="D67" s="228"/>
      <c r="E67" s="229">
        <v>951.78389</v>
      </c>
      <c r="F67" s="229">
        <v>884.525</v>
      </c>
      <c r="G67" s="119"/>
      <c r="H67" s="179">
        <f>E67-F67</f>
        <v>67.25889000000006</v>
      </c>
    </row>
    <row r="68" spans="1:8" ht="15">
      <c r="A68" s="101"/>
      <c r="B68" s="116" t="s">
        <v>116</v>
      </c>
      <c r="C68" s="227">
        <v>1328.557332148244</v>
      </c>
      <c r="D68" s="228"/>
      <c r="E68" s="229">
        <v>1276.10174</v>
      </c>
      <c r="F68" s="229">
        <v>1193.405</v>
      </c>
      <c r="G68" s="119"/>
      <c r="H68" s="179">
        <f>E68-F68</f>
        <v>82.69674000000009</v>
      </c>
    </row>
    <row r="69" spans="1:8" ht="15.75" thickBot="1">
      <c r="A69" s="105"/>
      <c r="B69" s="174" t="s">
        <v>117</v>
      </c>
      <c r="C69" s="227">
        <v>657.1312079636701</v>
      </c>
      <c r="D69" s="228"/>
      <c r="E69" s="230">
        <v>602.29772</v>
      </c>
      <c r="F69" s="230">
        <v>671.52254</v>
      </c>
      <c r="G69" s="231"/>
      <c r="H69" s="232">
        <f>32.94443-38.73694</f>
        <v>-5.79251</v>
      </c>
    </row>
    <row r="70" spans="1:8" ht="19.5" thickBot="1" thickTop="1">
      <c r="A70" s="109" t="s">
        <v>118</v>
      </c>
      <c r="B70" s="233" t="s">
        <v>119</v>
      </c>
      <c r="C70" s="221">
        <v>11210.911964145602</v>
      </c>
      <c r="D70" s="222"/>
      <c r="E70" s="234">
        <v>10631.63265</v>
      </c>
      <c r="F70" s="234">
        <v>10303.42654</v>
      </c>
      <c r="G70" s="234">
        <v>569.8580496</v>
      </c>
      <c r="H70" s="235">
        <f>H25+H64</f>
        <v>328.2061100000001</v>
      </c>
    </row>
    <row r="71" spans="1:8" ht="19.5" thickBot="1" thickTop="1">
      <c r="A71" s="165" t="s">
        <v>120</v>
      </c>
      <c r="B71" s="110" t="s">
        <v>121</v>
      </c>
      <c r="C71" s="221"/>
      <c r="D71" s="222"/>
      <c r="E71" s="234">
        <v>49.19175</v>
      </c>
      <c r="F71" s="234">
        <v>48.9386</v>
      </c>
      <c r="G71" s="234">
        <v>0</v>
      </c>
      <c r="H71" s="235">
        <f>E71-F71</f>
        <v>0.253149999999998</v>
      </c>
    </row>
    <row r="72" spans="1:8" ht="15.75" thickTop="1">
      <c r="A72" s="176"/>
      <c r="B72" s="170" t="s">
        <v>122</v>
      </c>
      <c r="C72" s="223"/>
      <c r="D72" s="224"/>
      <c r="E72" s="117">
        <v>49.19175</v>
      </c>
      <c r="F72" s="117">
        <v>48.9386</v>
      </c>
      <c r="G72" s="117"/>
      <c r="H72" s="226">
        <f>E72-F72</f>
        <v>0.253149999999998</v>
      </c>
    </row>
    <row r="73" spans="1:8" ht="15">
      <c r="A73" s="115"/>
      <c r="B73" s="116" t="s">
        <v>123</v>
      </c>
      <c r="C73" s="227"/>
      <c r="D73" s="228"/>
      <c r="E73" s="119"/>
      <c r="F73" s="119"/>
      <c r="G73" s="119"/>
      <c r="H73" s="179">
        <f>E73-F73</f>
        <v>0</v>
      </c>
    </row>
    <row r="74" spans="1:8" ht="33.75" customHeight="1" thickBot="1">
      <c r="A74" s="120"/>
      <c r="B74" s="121" t="s">
        <v>124</v>
      </c>
      <c r="C74" s="236"/>
      <c r="D74" s="237"/>
      <c r="E74" s="124">
        <v>154.131</v>
      </c>
      <c r="F74" s="125" t="s">
        <v>110</v>
      </c>
      <c r="G74" s="126"/>
      <c r="H74" s="127"/>
    </row>
    <row r="75" spans="1:8" ht="33.75" customHeight="1" thickBot="1" thickTop="1">
      <c r="A75" s="109" t="s">
        <v>125</v>
      </c>
      <c r="B75" s="110" t="s">
        <v>147</v>
      </c>
      <c r="C75" s="238">
        <v>0</v>
      </c>
      <c r="D75" s="239"/>
      <c r="E75" s="240">
        <v>0</v>
      </c>
      <c r="F75" s="240"/>
      <c r="G75" s="240"/>
      <c r="H75" s="241">
        <f>E75-F75</f>
        <v>0</v>
      </c>
    </row>
    <row r="76" spans="1:8" ht="30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7374.949259999999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3201.9900000000002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4159.06611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13.893149999999999</v>
      </c>
      <c r="H79" s="243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49">
    <mergeCell ref="B78:F78"/>
    <mergeCell ref="G78:H78"/>
    <mergeCell ref="B79:F79"/>
    <mergeCell ref="G79:H79"/>
    <mergeCell ref="C73:D73"/>
    <mergeCell ref="C74:D74"/>
    <mergeCell ref="C75:D75"/>
    <mergeCell ref="B76:F76"/>
    <mergeCell ref="G76:H76"/>
    <mergeCell ref="B77:F77"/>
    <mergeCell ref="G77:H77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3">
    <tabColor rgb="FF92D050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6.8515625" style="187" customWidth="1"/>
    <col min="2" max="2" width="55.8515625" style="140" customWidth="1"/>
    <col min="3" max="3" width="13.8515625" style="140" customWidth="1"/>
    <col min="4" max="4" width="11.421875" style="140" customWidth="1"/>
    <col min="5" max="5" width="17.57421875" style="140" customWidth="1"/>
    <col min="6" max="6" width="27.421875" style="140" customWidth="1"/>
    <col min="7" max="7" width="22.7109375" style="140" customWidth="1"/>
    <col min="8" max="8" width="20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Набережная Урванцева </v>
      </c>
      <c r="E2" s="5"/>
      <c r="F2" s="5" t="s">
        <v>3</v>
      </c>
      <c r="G2" s="7">
        <f>D17</f>
        <v>33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168</v>
      </c>
      <c r="C17" s="31" t="s">
        <v>3</v>
      </c>
      <c r="D17" s="31">
        <v>33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5731.090000000001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3133.88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2479.32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117.89</v>
      </c>
      <c r="F22" s="8" t="s">
        <v>20</v>
      </c>
      <c r="G22" s="30"/>
    </row>
    <row r="23" spans="1:8" s="149" customFormat="1" ht="83.2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2.2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7846.801471016257</v>
      </c>
      <c r="D25" s="57">
        <v>0</v>
      </c>
      <c r="E25" s="58">
        <v>7031.049999999999</v>
      </c>
      <c r="F25" s="58">
        <v>7381.570000000001</v>
      </c>
      <c r="G25" s="157">
        <v>86.1076728</v>
      </c>
      <c r="H25" s="59">
        <f>E25-F25</f>
        <v>-350.52000000000135</v>
      </c>
    </row>
    <row r="26" spans="1:8" s="143" customFormat="1" ht="18">
      <c r="A26" s="60" t="s">
        <v>36</v>
      </c>
      <c r="B26" s="61" t="s">
        <v>37</v>
      </c>
      <c r="C26" s="62">
        <v>2392.48689</v>
      </c>
      <c r="D26" s="62"/>
      <c r="E26" s="63">
        <v>1196.791</v>
      </c>
      <c r="F26" s="63">
        <v>1256.34</v>
      </c>
      <c r="G26" s="63">
        <v>14.9456232</v>
      </c>
      <c r="H26" s="64">
        <f>E26-F26</f>
        <v>-59.54899999999998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5454.314581016257</v>
      </c>
      <c r="D50" s="62">
        <v>0</v>
      </c>
      <c r="E50" s="63">
        <v>5834.258999999999</v>
      </c>
      <c r="F50" s="63">
        <v>6125.2300000000005</v>
      </c>
      <c r="G50" s="63">
        <v>71.16204959999999</v>
      </c>
      <c r="H50" s="64">
        <f aca="true" t="shared" si="0" ref="H50:H62">E50-F50</f>
        <v>-290.97100000000137</v>
      </c>
    </row>
    <row r="51" spans="1:8" ht="15">
      <c r="A51" s="77" t="s">
        <v>84</v>
      </c>
      <c r="B51" s="78" t="s">
        <v>85</v>
      </c>
      <c r="C51" s="79">
        <v>739.9614917441716</v>
      </c>
      <c r="D51" s="80"/>
      <c r="E51" s="73">
        <v>379.53</v>
      </c>
      <c r="F51" s="73">
        <v>398.6</v>
      </c>
      <c r="G51" s="81">
        <v>4.7960496</v>
      </c>
      <c r="H51" s="82">
        <f t="shared" si="0"/>
        <v>-19.07000000000005</v>
      </c>
    </row>
    <row r="52" spans="1:8" s="158" customFormat="1" ht="15">
      <c r="A52" s="77" t="s">
        <v>86</v>
      </c>
      <c r="B52" s="78" t="s">
        <v>87</v>
      </c>
      <c r="C52" s="79">
        <v>813.7912242226769</v>
      </c>
      <c r="D52" s="80"/>
      <c r="E52" s="73">
        <v>1034.959</v>
      </c>
      <c r="F52" s="73">
        <v>1086.58</v>
      </c>
      <c r="G52" s="81">
        <v>13.6094544</v>
      </c>
      <c r="H52" s="82">
        <f t="shared" si="0"/>
        <v>-51.62099999999987</v>
      </c>
    </row>
    <row r="53" spans="1:8" s="159" customFormat="1" ht="16.5">
      <c r="A53" s="77" t="s">
        <v>88</v>
      </c>
      <c r="B53" s="78" t="s">
        <v>89</v>
      </c>
      <c r="C53" s="79">
        <v>162.31326637018753</v>
      </c>
      <c r="D53" s="80"/>
      <c r="E53" s="73">
        <v>158.81</v>
      </c>
      <c r="F53" s="73">
        <v>166.82</v>
      </c>
      <c r="G53" s="81">
        <v>2.0263752</v>
      </c>
      <c r="H53" s="82">
        <f t="shared" si="0"/>
        <v>-8.009999999999991</v>
      </c>
    </row>
    <row r="54" spans="1:8" s="160" customFormat="1" ht="15">
      <c r="A54" s="77" t="s">
        <v>90</v>
      </c>
      <c r="B54" s="78" t="s">
        <v>91</v>
      </c>
      <c r="C54" s="79">
        <v>532.8517568660209</v>
      </c>
      <c r="D54" s="80"/>
      <c r="E54" s="73">
        <v>510.077</v>
      </c>
      <c r="F54" s="73">
        <v>535.16</v>
      </c>
      <c r="G54" s="81">
        <v>6.3357408</v>
      </c>
      <c r="H54" s="82">
        <f t="shared" si="0"/>
        <v>-25.08299999999997</v>
      </c>
    </row>
    <row r="55" spans="1:8" ht="33" customHeight="1">
      <c r="A55" s="77" t="s">
        <v>92</v>
      </c>
      <c r="B55" s="78" t="s">
        <v>93</v>
      </c>
      <c r="C55" s="79">
        <v>2021.5900419982413</v>
      </c>
      <c r="D55" s="80"/>
      <c r="E55" s="73">
        <v>2532.891</v>
      </c>
      <c r="F55" s="73">
        <v>2658.84</v>
      </c>
      <c r="G55" s="81">
        <v>31.953016799999997</v>
      </c>
      <c r="H55" s="82">
        <f t="shared" si="0"/>
        <v>-125.94900000000007</v>
      </c>
    </row>
    <row r="56" spans="1:8" ht="15">
      <c r="A56" s="77" t="s">
        <v>94</v>
      </c>
      <c r="B56" s="78" t="s">
        <v>95</v>
      </c>
      <c r="C56" s="79">
        <v>595.0627685273546</v>
      </c>
      <c r="D56" s="80"/>
      <c r="E56" s="73">
        <v>538.34</v>
      </c>
      <c r="F56" s="73">
        <v>565.43</v>
      </c>
      <c r="G56" s="81">
        <v>7.140981600000001</v>
      </c>
      <c r="H56" s="82">
        <f t="shared" si="0"/>
        <v>-27.089999999999918</v>
      </c>
    </row>
    <row r="57" spans="1:8" ht="17.25" customHeight="1">
      <c r="A57" s="77" t="s">
        <v>96</v>
      </c>
      <c r="B57" s="78" t="s">
        <v>97</v>
      </c>
      <c r="C57" s="79">
        <v>58.094589587053946</v>
      </c>
      <c r="D57" s="80"/>
      <c r="E57" s="73">
        <v>83.442</v>
      </c>
      <c r="F57" s="73">
        <v>87.84</v>
      </c>
      <c r="G57" s="81">
        <v>1.0795536</v>
      </c>
      <c r="H57" s="82">
        <f t="shared" si="0"/>
        <v>-4.39800000000001</v>
      </c>
    </row>
    <row r="58" spans="1:8" ht="15">
      <c r="A58" s="77" t="s">
        <v>98</v>
      </c>
      <c r="B58" s="78" t="s">
        <v>99</v>
      </c>
      <c r="C58" s="79">
        <v>338.4098072196318</v>
      </c>
      <c r="D58" s="80"/>
      <c r="E58" s="73">
        <v>328.387</v>
      </c>
      <c r="F58" s="73">
        <v>344.72</v>
      </c>
      <c r="G58" s="81">
        <v>4.158935999999999</v>
      </c>
      <c r="H58" s="82">
        <f t="shared" si="0"/>
        <v>-16.333000000000027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5.001592207992826</v>
      </c>
      <c r="D61" s="80"/>
      <c r="E61" s="73">
        <v>5.383</v>
      </c>
      <c r="F61" s="73">
        <v>5.91</v>
      </c>
      <c r="G61" s="81">
        <v>0.061941600000000006</v>
      </c>
      <c r="H61" s="82">
        <f t="shared" si="0"/>
        <v>-0.5270000000000001</v>
      </c>
    </row>
    <row r="62" spans="1:8" s="143" customFormat="1" ht="15.75" thickBot="1">
      <c r="A62" s="83" t="s">
        <v>106</v>
      </c>
      <c r="B62" s="84" t="s">
        <v>107</v>
      </c>
      <c r="C62" s="85">
        <v>187.23804227292442</v>
      </c>
      <c r="D62" s="86"/>
      <c r="E62" s="87">
        <v>262.44</v>
      </c>
      <c r="F62" s="87">
        <v>275.33</v>
      </c>
      <c r="G62" s="88">
        <v>0</v>
      </c>
      <c r="H62" s="89">
        <f t="shared" si="0"/>
        <v>-12.889999999999986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-1121.2012668000002</v>
      </c>
      <c r="D63" s="93"/>
      <c r="E63" s="94" t="s">
        <v>110</v>
      </c>
      <c r="F63" s="94"/>
      <c r="G63" s="163">
        <v>7.3801383062697905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7917.093026704146</v>
      </c>
      <c r="D64" s="111"/>
      <c r="E64" s="167">
        <v>7567.763409599999</v>
      </c>
      <c r="F64" s="167">
        <v>7589.006629999999</v>
      </c>
      <c r="G64" s="167">
        <v>54.384724799999994</v>
      </c>
      <c r="H64" s="168">
        <f>E64-F64</f>
        <v>-21.2432203999997</v>
      </c>
    </row>
    <row r="65" spans="1:8" ht="15.75" thickTop="1">
      <c r="A65" s="169"/>
      <c r="B65" s="170" t="s">
        <v>113</v>
      </c>
      <c r="C65" s="171">
        <v>4360.218927760629</v>
      </c>
      <c r="D65" s="171"/>
      <c r="E65" s="172">
        <v>4229.7665</v>
      </c>
      <c r="F65" s="172">
        <v>4379.428</v>
      </c>
      <c r="G65" s="163">
        <v>54.384724799999994</v>
      </c>
      <c r="H65" s="173">
        <f>E65-F65</f>
        <v>-149.66150000000016</v>
      </c>
    </row>
    <row r="66" spans="1:8" ht="15">
      <c r="A66" s="101"/>
      <c r="B66" s="116" t="s">
        <v>114</v>
      </c>
      <c r="C66" s="103">
        <v>891.132581476677</v>
      </c>
      <c r="D66" s="103"/>
      <c r="E66" s="73">
        <v>836.2955</v>
      </c>
      <c r="F66" s="73">
        <v>868.159</v>
      </c>
      <c r="G66" s="81"/>
      <c r="H66" s="104">
        <f>E66-F66</f>
        <v>-31.863500000000045</v>
      </c>
    </row>
    <row r="67" spans="1:8" ht="15">
      <c r="A67" s="101"/>
      <c r="B67" s="116" t="s">
        <v>115</v>
      </c>
      <c r="C67" s="103">
        <v>766.4091839267234</v>
      </c>
      <c r="D67" s="103"/>
      <c r="E67" s="73">
        <v>719.24713</v>
      </c>
      <c r="F67" s="73">
        <v>748.607</v>
      </c>
      <c r="G67" s="81"/>
      <c r="H67" s="104">
        <f>E67-F67</f>
        <v>-29.35987</v>
      </c>
    </row>
    <row r="68" spans="1:8" ht="15">
      <c r="A68" s="101"/>
      <c r="B68" s="116" t="s">
        <v>116</v>
      </c>
      <c r="C68" s="103">
        <v>1035.4798086462088</v>
      </c>
      <c r="D68" s="103"/>
      <c r="E68" s="73">
        <v>971.76012</v>
      </c>
      <c r="F68" s="73">
        <v>1015.489</v>
      </c>
      <c r="G68" s="81"/>
      <c r="H68" s="104">
        <f>E68-F68</f>
        <v>-43.728880000000004</v>
      </c>
    </row>
    <row r="69" spans="1:8" ht="15.75" thickBot="1">
      <c r="A69" s="105"/>
      <c r="B69" s="174" t="s">
        <v>117</v>
      </c>
      <c r="C69" s="107">
        <v>863.8525248939079</v>
      </c>
      <c r="D69" s="107"/>
      <c r="E69" s="87">
        <v>810.6941595999999</v>
      </c>
      <c r="F69" s="87">
        <v>577.32363</v>
      </c>
      <c r="G69" s="88"/>
      <c r="H69" s="108">
        <f>82.62229+108.71574</f>
        <v>191.33803</v>
      </c>
    </row>
    <row r="70" spans="1:8" ht="20.25" customHeight="1" thickBot="1" thickTop="1">
      <c r="A70" s="175" t="s">
        <v>118</v>
      </c>
      <c r="B70" s="166" t="s">
        <v>119</v>
      </c>
      <c r="C70" s="111">
        <v>15763.894497720403</v>
      </c>
      <c r="D70" s="111"/>
      <c r="E70" s="166">
        <v>14598.8134096</v>
      </c>
      <c r="F70" s="166">
        <v>14970.57663</v>
      </c>
      <c r="G70" s="166">
        <v>140.4923976</v>
      </c>
      <c r="H70" s="168">
        <f>H25+H64</f>
        <v>-371.76322040000105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348.1454</v>
      </c>
      <c r="F71" s="166">
        <v>361.99069999999995</v>
      </c>
      <c r="G71" s="166">
        <v>0</v>
      </c>
      <c r="H71" s="168">
        <f>E71-F71</f>
        <v>-13.845299999999952</v>
      </c>
    </row>
    <row r="72" spans="1:8" ht="15.75" thickTop="1">
      <c r="A72" s="176"/>
      <c r="B72" s="170" t="s">
        <v>122</v>
      </c>
      <c r="C72" s="171"/>
      <c r="D72" s="171"/>
      <c r="E72" s="117">
        <v>348.1454</v>
      </c>
      <c r="F72" s="117">
        <v>361.99069999999995</v>
      </c>
      <c r="G72" s="117"/>
      <c r="H72" s="104">
        <f>E72-F72</f>
        <v>-13.845299999999952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668.699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4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5345.481479599999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2783.3599999999988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2458.0767796000005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104.04470000000005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4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7.421875" style="187" customWidth="1"/>
    <col min="2" max="2" width="55.28125" style="140" customWidth="1"/>
    <col min="3" max="3" width="16.28125" style="140" customWidth="1"/>
    <col min="4" max="4" width="9.8515625" style="140" customWidth="1"/>
    <col min="5" max="5" width="21.00390625" style="140" customWidth="1"/>
    <col min="6" max="6" width="25.57421875" style="140" customWidth="1"/>
    <col min="7" max="7" width="22.57421875" style="140" customWidth="1"/>
    <col min="8" max="8" width="27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Набережная Урванцева </v>
      </c>
      <c r="E2" s="5"/>
      <c r="F2" s="5" t="s">
        <v>3</v>
      </c>
      <c r="G2" s="7">
        <f>D17</f>
        <v>37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168</v>
      </c>
      <c r="C17" s="31" t="s">
        <v>3</v>
      </c>
      <c r="D17" s="31">
        <v>37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1885.32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965.1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885.4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34.82</v>
      </c>
      <c r="F22" s="8" t="s">
        <v>20</v>
      </c>
      <c r="G22" s="30"/>
    </row>
    <row r="23" spans="1:8" s="149" customFormat="1" ht="81.7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2629.0947770007506</v>
      </c>
      <c r="D25" s="57">
        <v>0</v>
      </c>
      <c r="E25" s="58">
        <v>2960.293</v>
      </c>
      <c r="F25" s="58">
        <v>2932.3</v>
      </c>
      <c r="G25" s="157">
        <v>0</v>
      </c>
      <c r="H25" s="59">
        <f>E25-F25</f>
        <v>27.992999999999938</v>
      </c>
    </row>
    <row r="26" spans="1:8" s="143" customFormat="1" ht="18">
      <c r="A26" s="60" t="s">
        <v>36</v>
      </c>
      <c r="B26" s="61" t="s">
        <v>37</v>
      </c>
      <c r="C26" s="62">
        <v>309.25047</v>
      </c>
      <c r="D26" s="62"/>
      <c r="E26" s="63">
        <v>506.227</v>
      </c>
      <c r="F26" s="63">
        <v>501.42</v>
      </c>
      <c r="G26" s="63">
        <v>0</v>
      </c>
      <c r="H26" s="64">
        <f>E26-F26</f>
        <v>4.8069999999999595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2319.8443070007506</v>
      </c>
      <c r="D50" s="62">
        <v>0</v>
      </c>
      <c r="E50" s="63">
        <v>2454.0660000000003</v>
      </c>
      <c r="F50" s="63">
        <v>2430.88</v>
      </c>
      <c r="G50" s="63">
        <v>0</v>
      </c>
      <c r="H50" s="64">
        <f aca="true" t="shared" si="0" ref="H50:H62">E50-F50</f>
        <v>23.18600000000015</v>
      </c>
    </row>
    <row r="51" spans="1:8" ht="15">
      <c r="A51" s="77" t="s">
        <v>84</v>
      </c>
      <c r="B51" s="78" t="s">
        <v>85</v>
      </c>
      <c r="C51" s="79">
        <v>325.91021242443935</v>
      </c>
      <c r="D51" s="80"/>
      <c r="E51" s="73">
        <v>167.161</v>
      </c>
      <c r="F51" s="73">
        <v>165.68</v>
      </c>
      <c r="G51" s="81">
        <v>0</v>
      </c>
      <c r="H51" s="82">
        <f t="shared" si="0"/>
        <v>1.4809999999999945</v>
      </c>
    </row>
    <row r="52" spans="1:8" s="158" customFormat="1" ht="15">
      <c r="A52" s="77" t="s">
        <v>86</v>
      </c>
      <c r="B52" s="78" t="s">
        <v>87</v>
      </c>
      <c r="C52" s="79">
        <v>358.4282968210963</v>
      </c>
      <c r="D52" s="80"/>
      <c r="E52" s="73">
        <v>455.84</v>
      </c>
      <c r="F52" s="73">
        <v>451.57</v>
      </c>
      <c r="G52" s="81">
        <v>0</v>
      </c>
      <c r="H52" s="82">
        <f t="shared" si="0"/>
        <v>4.269999999999982</v>
      </c>
    </row>
    <row r="53" spans="1:8" s="159" customFormat="1" ht="16.5">
      <c r="A53" s="77" t="s">
        <v>88</v>
      </c>
      <c r="B53" s="78" t="s">
        <v>89</v>
      </c>
      <c r="C53" s="79">
        <v>71.48897254284451</v>
      </c>
      <c r="D53" s="80"/>
      <c r="E53" s="73">
        <v>69.946</v>
      </c>
      <c r="F53" s="73">
        <v>69.2</v>
      </c>
      <c r="G53" s="81">
        <v>0</v>
      </c>
      <c r="H53" s="82">
        <f t="shared" si="0"/>
        <v>0.7459999999999951</v>
      </c>
    </row>
    <row r="54" spans="1:8" s="160" customFormat="1" ht="15">
      <c r="A54" s="77" t="s">
        <v>90</v>
      </c>
      <c r="B54" s="78" t="s">
        <v>91</v>
      </c>
      <c r="C54" s="79">
        <v>234.6909891987293</v>
      </c>
      <c r="D54" s="80"/>
      <c r="E54" s="73">
        <v>224.66</v>
      </c>
      <c r="F54" s="73">
        <v>222.56</v>
      </c>
      <c r="G54" s="81">
        <v>0</v>
      </c>
      <c r="H54" s="82">
        <f t="shared" si="0"/>
        <v>2.0999999999999943</v>
      </c>
    </row>
    <row r="55" spans="1:8" ht="29.25" customHeight="1">
      <c r="A55" s="77" t="s">
        <v>92</v>
      </c>
      <c r="B55" s="78" t="s">
        <v>93</v>
      </c>
      <c r="C55" s="79">
        <v>890.3950945038638</v>
      </c>
      <c r="D55" s="80"/>
      <c r="E55" s="73">
        <v>1115.594</v>
      </c>
      <c r="F55" s="73">
        <v>1104.89</v>
      </c>
      <c r="G55" s="81">
        <v>0</v>
      </c>
      <c r="H55" s="82">
        <f t="shared" si="0"/>
        <v>10.70399999999995</v>
      </c>
    </row>
    <row r="56" spans="1:8" ht="15">
      <c r="A56" s="77" t="s">
        <v>94</v>
      </c>
      <c r="B56" s="78" t="s">
        <v>95</v>
      </c>
      <c r="C56" s="79">
        <v>262.09113742241703</v>
      </c>
      <c r="D56" s="80"/>
      <c r="E56" s="73">
        <v>237.108</v>
      </c>
      <c r="F56" s="73">
        <v>234.88</v>
      </c>
      <c r="G56" s="81">
        <v>0</v>
      </c>
      <c r="H56" s="82">
        <f t="shared" si="0"/>
        <v>2.2280000000000086</v>
      </c>
    </row>
    <row r="57" spans="1:8" ht="17.25" customHeight="1">
      <c r="A57" s="77" t="s">
        <v>96</v>
      </c>
      <c r="B57" s="78" t="s">
        <v>97</v>
      </c>
      <c r="C57" s="79">
        <v>25.587045635457198</v>
      </c>
      <c r="D57" s="80"/>
      <c r="E57" s="73">
        <v>36.751</v>
      </c>
      <c r="F57" s="73">
        <v>36.65</v>
      </c>
      <c r="G57" s="81">
        <v>0</v>
      </c>
      <c r="H57" s="82">
        <f t="shared" si="0"/>
        <v>0.10099999999999909</v>
      </c>
    </row>
    <row r="58" spans="1:8" ht="15">
      <c r="A58" s="77" t="s">
        <v>98</v>
      </c>
      <c r="B58" s="78" t="s">
        <v>99</v>
      </c>
      <c r="C58" s="79">
        <v>149.05048274450164</v>
      </c>
      <c r="D58" s="80"/>
      <c r="E58" s="73">
        <v>144.636</v>
      </c>
      <c r="F58" s="73">
        <v>143.1</v>
      </c>
      <c r="G58" s="81">
        <v>0</v>
      </c>
      <c r="H58" s="82">
        <f t="shared" si="0"/>
        <v>1.5360000000000014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2.2020757074016344</v>
      </c>
      <c r="D61" s="80"/>
      <c r="E61" s="73">
        <v>2.37</v>
      </c>
      <c r="F61" s="73">
        <v>2.35</v>
      </c>
      <c r="G61" s="81">
        <v>0</v>
      </c>
      <c r="H61" s="82">
        <f t="shared" si="0"/>
        <v>0.020000000000000018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192.16953</v>
      </c>
      <c r="D63" s="93"/>
      <c r="E63" s="94" t="s">
        <v>110</v>
      </c>
      <c r="F63" s="94"/>
      <c r="G63" s="163">
        <v>0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3738.3914042530473</v>
      </c>
      <c r="D64" s="111"/>
      <c r="E64" s="167">
        <v>3556.395214</v>
      </c>
      <c r="F64" s="167">
        <v>3378.9990799999996</v>
      </c>
      <c r="G64" s="167">
        <v>0</v>
      </c>
      <c r="H64" s="168">
        <f>E64-F64</f>
        <v>177.39613400000053</v>
      </c>
    </row>
    <row r="65" spans="1:8" ht="15.75" thickTop="1">
      <c r="A65" s="169"/>
      <c r="B65" s="170" t="s">
        <v>113</v>
      </c>
      <c r="C65" s="171">
        <v>1908.7549916375247</v>
      </c>
      <c r="D65" s="171"/>
      <c r="E65" s="172">
        <v>1839.34802</v>
      </c>
      <c r="F65" s="172">
        <v>1783.463</v>
      </c>
      <c r="G65" s="163">
        <v>0</v>
      </c>
      <c r="H65" s="173">
        <f>E65-F65</f>
        <v>55.88501999999994</v>
      </c>
    </row>
    <row r="66" spans="1:8" ht="15">
      <c r="A66" s="101"/>
      <c r="B66" s="116" t="s">
        <v>114</v>
      </c>
      <c r="C66" s="103">
        <v>459.83505923157014</v>
      </c>
      <c r="D66" s="103"/>
      <c r="E66" s="73">
        <v>431.53847</v>
      </c>
      <c r="F66" s="73">
        <v>440.286</v>
      </c>
      <c r="G66" s="81"/>
      <c r="H66" s="104">
        <f>E66-F66</f>
        <v>-8.747529999999983</v>
      </c>
    </row>
    <row r="67" spans="1:8" ht="15">
      <c r="A67" s="101"/>
      <c r="B67" s="116" t="s">
        <v>115</v>
      </c>
      <c r="C67" s="103">
        <v>402.68704689510827</v>
      </c>
      <c r="D67" s="103"/>
      <c r="E67" s="73">
        <v>377.90714</v>
      </c>
      <c r="F67" s="73">
        <v>384.988</v>
      </c>
      <c r="G67" s="81"/>
      <c r="H67" s="104">
        <f>E67-F67</f>
        <v>-7.080859999999973</v>
      </c>
    </row>
    <row r="68" spans="1:8" ht="15">
      <c r="A68" s="101"/>
      <c r="B68" s="116" t="s">
        <v>116</v>
      </c>
      <c r="C68" s="103">
        <v>540.1853350893738</v>
      </c>
      <c r="D68" s="103"/>
      <c r="E68" s="73">
        <v>506.94428</v>
      </c>
      <c r="F68" s="73">
        <v>517.524</v>
      </c>
      <c r="G68" s="81"/>
      <c r="H68" s="104">
        <f>E68-F68</f>
        <v>-10.579720000000009</v>
      </c>
    </row>
    <row r="69" spans="1:8" ht="15.75" thickBot="1">
      <c r="A69" s="105"/>
      <c r="B69" s="174" t="s">
        <v>117</v>
      </c>
      <c r="C69" s="107">
        <v>426.92897139947036</v>
      </c>
      <c r="D69" s="107"/>
      <c r="E69" s="87">
        <v>400.657304</v>
      </c>
      <c r="F69" s="87">
        <v>252.73808</v>
      </c>
      <c r="G69" s="88"/>
      <c r="H69" s="108">
        <f>52.05679+56.423794</f>
        <v>108.480584</v>
      </c>
    </row>
    <row r="70" spans="1:8" ht="20.25" customHeight="1" thickBot="1" thickTop="1">
      <c r="A70" s="175" t="s">
        <v>118</v>
      </c>
      <c r="B70" s="166" t="s">
        <v>119</v>
      </c>
      <c r="C70" s="111">
        <v>6367.486181253798</v>
      </c>
      <c r="D70" s="111"/>
      <c r="E70" s="166">
        <v>6516.688214</v>
      </c>
      <c r="F70" s="166">
        <v>6311.29908</v>
      </c>
      <c r="G70" s="166">
        <v>0</v>
      </c>
      <c r="H70" s="168">
        <f>H25+H64</f>
        <v>205.38913400000047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153.855</v>
      </c>
      <c r="F71" s="166">
        <v>155.01701</v>
      </c>
      <c r="G71" s="166">
        <v>0</v>
      </c>
      <c r="H71" s="168">
        <f>E71-F71</f>
        <v>-1.1620100000000093</v>
      </c>
    </row>
    <row r="72" spans="1:8" ht="15.75" thickTop="1">
      <c r="A72" s="176"/>
      <c r="B72" s="170" t="s">
        <v>122</v>
      </c>
      <c r="C72" s="177"/>
      <c r="D72" s="177"/>
      <c r="E72" s="117">
        <v>153.855</v>
      </c>
      <c r="F72" s="117">
        <v>155.01701</v>
      </c>
      <c r="G72" s="117"/>
      <c r="H72" s="104">
        <f>E72-F72</f>
        <v>-1.1620100000000093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609.132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4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2089.5471240000006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993.093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1062.7961340000006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33.65798999999999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5">
    <tabColor theme="5" tint="0.5999900102615356"/>
  </sheetPr>
  <dimension ref="A1:H104"/>
  <sheetViews>
    <sheetView zoomScaleSheetLayoutView="80" zoomScalePageLayoutView="0" workbookViewId="0" topLeftCell="A1">
      <selection activeCell="E75" sqref="E75"/>
    </sheetView>
  </sheetViews>
  <sheetFormatPr defaultColWidth="9.140625" defaultRowHeight="15"/>
  <cols>
    <col min="1" max="1" width="7.421875" style="282" customWidth="1"/>
    <col min="2" max="2" width="56.7109375" style="249" customWidth="1"/>
    <col min="3" max="3" width="16.140625" style="249" customWidth="1"/>
    <col min="4" max="4" width="8.421875" style="249" customWidth="1"/>
    <col min="5" max="5" width="17.00390625" style="249" customWidth="1"/>
    <col min="6" max="6" width="27.421875" style="249" customWidth="1"/>
    <col min="7" max="7" width="22.7109375" style="249" customWidth="1"/>
    <col min="8" max="8" width="19.8515625" style="249" hidden="1" customWidth="1"/>
    <col min="9" max="16384" width="9.140625" style="249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250" customFormat="1" ht="15.75">
      <c r="A2" s="3"/>
      <c r="B2" s="4" t="s">
        <v>1</v>
      </c>
      <c r="C2" s="5" t="s">
        <v>2</v>
      </c>
      <c r="D2" s="5" t="str">
        <f>B17</f>
        <v>Набережная Урванцева </v>
      </c>
      <c r="E2" s="5"/>
      <c r="F2" s="5" t="s">
        <v>3</v>
      </c>
      <c r="G2" s="7">
        <f>D17</f>
        <v>39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251" t="s">
        <v>138</v>
      </c>
      <c r="B14" s="251"/>
      <c r="C14" s="251"/>
      <c r="D14" s="251"/>
      <c r="E14" s="251"/>
      <c r="F14" s="251"/>
      <c r="G14" s="251"/>
      <c r="H14" s="251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252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254" customFormat="1" ht="18">
      <c r="A17" s="31" t="s">
        <v>16</v>
      </c>
      <c r="B17" s="32" t="s">
        <v>168</v>
      </c>
      <c r="C17" s="31" t="s">
        <v>3</v>
      </c>
      <c r="D17" s="31">
        <v>39</v>
      </c>
      <c r="E17" s="31" t="s">
        <v>18</v>
      </c>
      <c r="F17" s="31"/>
      <c r="G17" s="31"/>
      <c r="H17" s="253"/>
    </row>
    <row r="18" spans="1:7" s="250" customFormat="1" ht="10.5" customHeight="1">
      <c r="A18" s="35"/>
      <c r="B18" s="36"/>
      <c r="C18" s="8"/>
      <c r="D18" s="8"/>
      <c r="E18" s="8"/>
      <c r="F18" s="8"/>
      <c r="G18" s="8"/>
    </row>
    <row r="19" spans="1:7" s="250" customFormat="1" ht="18">
      <c r="A19" s="35"/>
      <c r="B19" s="37" t="s">
        <v>19</v>
      </c>
      <c r="C19" s="8"/>
      <c r="D19" s="8"/>
      <c r="E19" s="38">
        <f>E20+E21+E22</f>
        <v>944.8599999999999</v>
      </c>
      <c r="F19" s="39" t="s">
        <v>20</v>
      </c>
      <c r="G19" s="8"/>
    </row>
    <row r="20" spans="1:7" s="250" customFormat="1" ht="18">
      <c r="A20" s="35"/>
      <c r="B20" s="8" t="s">
        <v>21</v>
      </c>
      <c r="C20" s="8"/>
      <c r="D20" s="8"/>
      <c r="E20" s="146">
        <v>536.05</v>
      </c>
      <c r="F20" s="8" t="s">
        <v>20</v>
      </c>
      <c r="G20" s="8"/>
    </row>
    <row r="21" spans="1:7" s="250" customFormat="1" ht="18">
      <c r="A21" s="41"/>
      <c r="B21" s="8" t="s">
        <v>22</v>
      </c>
      <c r="C21" s="8"/>
      <c r="D21" s="8"/>
      <c r="E21" s="146">
        <v>387.81</v>
      </c>
      <c r="F21" s="8" t="s">
        <v>20</v>
      </c>
      <c r="G21" s="8"/>
    </row>
    <row r="22" spans="1:7" s="252" customFormat="1" ht="18">
      <c r="A22" s="42"/>
      <c r="B22" s="8" t="s">
        <v>23</v>
      </c>
      <c r="C22" s="43"/>
      <c r="D22" s="43"/>
      <c r="E22" s="146">
        <v>21</v>
      </c>
      <c r="F22" s="8" t="s">
        <v>20</v>
      </c>
      <c r="G22" s="30"/>
    </row>
    <row r="23" spans="1:8" s="259" customFormat="1" ht="80.25" customHeight="1">
      <c r="A23" s="147" t="s">
        <v>24</v>
      </c>
      <c r="B23" s="255" t="s">
        <v>25</v>
      </c>
      <c r="C23" s="45" t="s">
        <v>140</v>
      </c>
      <c r="D23" s="46"/>
      <c r="E23" s="256" t="s">
        <v>27</v>
      </c>
      <c r="F23" s="257" t="s">
        <v>141</v>
      </c>
      <c r="G23" s="258"/>
      <c r="H23" s="256" t="s">
        <v>29</v>
      </c>
    </row>
    <row r="24" spans="1:8" s="252" customFormat="1" ht="31.5" customHeight="1">
      <c r="A24" s="150"/>
      <c r="B24" s="260"/>
      <c r="C24" s="261" t="s">
        <v>30</v>
      </c>
      <c r="D24" s="262"/>
      <c r="E24" s="263" t="s">
        <v>31</v>
      </c>
      <c r="F24" s="264" t="s">
        <v>32</v>
      </c>
      <c r="G24" s="265" t="s">
        <v>33</v>
      </c>
      <c r="H24" s="263" t="s">
        <v>30</v>
      </c>
    </row>
    <row r="25" spans="1:8" s="252" customFormat="1" ht="21.75" customHeight="1">
      <c r="A25" s="55" t="s">
        <v>34</v>
      </c>
      <c r="B25" s="56" t="s">
        <v>35</v>
      </c>
      <c r="C25" s="57">
        <v>1765.7139136120475</v>
      </c>
      <c r="D25" s="57">
        <v>0</v>
      </c>
      <c r="E25" s="58">
        <v>2009.264</v>
      </c>
      <c r="F25" s="58">
        <v>2013.3199999999997</v>
      </c>
      <c r="G25" s="157">
        <v>0</v>
      </c>
      <c r="H25" s="59">
        <f>E25-F25</f>
        <v>-4.055999999999813</v>
      </c>
    </row>
    <row r="26" spans="1:8" s="252" customFormat="1" ht="18">
      <c r="A26" s="60" t="s">
        <v>36</v>
      </c>
      <c r="B26" s="61" t="s">
        <v>37</v>
      </c>
      <c r="C26" s="62">
        <v>196.4491</v>
      </c>
      <c r="D26" s="62"/>
      <c r="E26" s="63">
        <v>330.685</v>
      </c>
      <c r="F26" s="63">
        <v>331.39</v>
      </c>
      <c r="G26" s="63">
        <v>0</v>
      </c>
      <c r="H26" s="64">
        <f>E26-F26</f>
        <v>-0.7049999999999841</v>
      </c>
    </row>
    <row r="27" spans="1:8" s="252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252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252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252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252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252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252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252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252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252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252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252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252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252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252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252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252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252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252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252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252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252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252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252" customFormat="1" ht="18">
      <c r="A50" s="75" t="s">
        <v>82</v>
      </c>
      <c r="B50" s="76" t="s">
        <v>83</v>
      </c>
      <c r="C50" s="62">
        <v>1569.2648136120474</v>
      </c>
      <c r="D50" s="62">
        <v>0</v>
      </c>
      <c r="E50" s="63">
        <v>1678.579</v>
      </c>
      <c r="F50" s="63">
        <v>1681.9299999999998</v>
      </c>
      <c r="G50" s="63">
        <v>0</v>
      </c>
      <c r="H50" s="64">
        <f aca="true" t="shared" si="0" ref="H50:H62">E50-F50</f>
        <v>-3.3509999999998854</v>
      </c>
    </row>
    <row r="51" spans="1:8" ht="15">
      <c r="A51" s="77" t="s">
        <v>84</v>
      </c>
      <c r="B51" s="78" t="s">
        <v>85</v>
      </c>
      <c r="C51" s="79">
        <v>212.89514686850794</v>
      </c>
      <c r="D51" s="80"/>
      <c r="E51" s="73">
        <v>109.195</v>
      </c>
      <c r="F51" s="73">
        <v>109.32</v>
      </c>
      <c r="G51" s="81">
        <v>0</v>
      </c>
      <c r="H51" s="82">
        <f t="shared" si="0"/>
        <v>-0.125</v>
      </c>
    </row>
    <row r="52" spans="1:8" s="266" customFormat="1" ht="15">
      <c r="A52" s="77" t="s">
        <v>86</v>
      </c>
      <c r="B52" s="78" t="s">
        <v>87</v>
      </c>
      <c r="C52" s="79">
        <v>234.13661705010756</v>
      </c>
      <c r="D52" s="80"/>
      <c r="E52" s="73">
        <v>297.769</v>
      </c>
      <c r="F52" s="73">
        <v>298.37</v>
      </c>
      <c r="G52" s="81">
        <v>0</v>
      </c>
      <c r="H52" s="82">
        <f t="shared" si="0"/>
        <v>-0.6009999999999991</v>
      </c>
    </row>
    <row r="53" spans="1:8" s="267" customFormat="1" ht="16.5">
      <c r="A53" s="77" t="s">
        <v>88</v>
      </c>
      <c r="B53" s="78" t="s">
        <v>89</v>
      </c>
      <c r="C53" s="79">
        <v>46.698919801777215</v>
      </c>
      <c r="D53" s="80"/>
      <c r="E53" s="73">
        <v>45.691</v>
      </c>
      <c r="F53" s="73">
        <v>45.7</v>
      </c>
      <c r="G53" s="81">
        <v>0</v>
      </c>
      <c r="H53" s="82">
        <f t="shared" si="0"/>
        <v>-0.009000000000000341</v>
      </c>
    </row>
    <row r="54" spans="1:8" s="268" customFormat="1" ht="15">
      <c r="A54" s="77" t="s">
        <v>90</v>
      </c>
      <c r="B54" s="78" t="s">
        <v>91</v>
      </c>
      <c r="C54" s="79">
        <v>153.30755862129226</v>
      </c>
      <c r="D54" s="80"/>
      <c r="E54" s="73">
        <v>146.755</v>
      </c>
      <c r="F54" s="73">
        <v>147.78</v>
      </c>
      <c r="G54" s="81">
        <v>0</v>
      </c>
      <c r="H54" s="82">
        <f t="shared" si="0"/>
        <v>-1.0250000000000057</v>
      </c>
    </row>
    <row r="55" spans="1:8" ht="33" customHeight="1">
      <c r="A55" s="77" t="s">
        <v>92</v>
      </c>
      <c r="B55" s="78" t="s">
        <v>93</v>
      </c>
      <c r="C55" s="79">
        <v>581.6340098313905</v>
      </c>
      <c r="D55" s="80"/>
      <c r="E55" s="73">
        <v>728.741</v>
      </c>
      <c r="F55" s="73">
        <v>729.63</v>
      </c>
      <c r="G55" s="81">
        <v>0</v>
      </c>
      <c r="H55" s="82">
        <f t="shared" si="0"/>
        <v>-0.88900000000001</v>
      </c>
    </row>
    <row r="56" spans="1:8" ht="15">
      <c r="A56" s="77" t="s">
        <v>94</v>
      </c>
      <c r="B56" s="78" t="s">
        <v>95</v>
      </c>
      <c r="C56" s="79">
        <v>171.20572865870608</v>
      </c>
      <c r="D56" s="80"/>
      <c r="E56" s="73">
        <v>154.886</v>
      </c>
      <c r="F56" s="73">
        <v>155.23</v>
      </c>
      <c r="G56" s="81">
        <v>0</v>
      </c>
      <c r="H56" s="82">
        <f t="shared" si="0"/>
        <v>-0.3439999999999941</v>
      </c>
    </row>
    <row r="57" spans="1:8" ht="17.25" customHeight="1">
      <c r="A57" s="77" t="s">
        <v>96</v>
      </c>
      <c r="B57" s="78" t="s">
        <v>97</v>
      </c>
      <c r="C57" s="79">
        <v>16.7143262651471</v>
      </c>
      <c r="D57" s="80"/>
      <c r="E57" s="73">
        <v>24.007</v>
      </c>
      <c r="F57" s="73">
        <v>23.96</v>
      </c>
      <c r="G57" s="81">
        <v>0</v>
      </c>
      <c r="H57" s="82">
        <f t="shared" si="0"/>
        <v>0.0470000000000006</v>
      </c>
    </row>
    <row r="58" spans="1:8" ht="15">
      <c r="A58" s="77" t="s">
        <v>98</v>
      </c>
      <c r="B58" s="78" t="s">
        <v>99</v>
      </c>
      <c r="C58" s="79">
        <v>97.36365503540277</v>
      </c>
      <c r="D58" s="80"/>
      <c r="E58" s="73">
        <v>94.48</v>
      </c>
      <c r="F58" s="73">
        <v>94.63</v>
      </c>
      <c r="G58" s="81">
        <v>0</v>
      </c>
      <c r="H58" s="82">
        <f t="shared" si="0"/>
        <v>-0.14999999999999147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1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252" customFormat="1" ht="28.5">
      <c r="A61" s="77" t="s">
        <v>104</v>
      </c>
      <c r="B61" s="78" t="s">
        <v>105</v>
      </c>
      <c r="C61" s="79">
        <v>1.438317803821827</v>
      </c>
      <c r="D61" s="80"/>
      <c r="E61" s="73">
        <v>1.548</v>
      </c>
      <c r="F61" s="73">
        <v>1.61</v>
      </c>
      <c r="G61" s="81">
        <v>0</v>
      </c>
      <c r="H61" s="82">
        <f t="shared" si="0"/>
        <v>-0.062000000000000055</v>
      </c>
    </row>
    <row r="62" spans="1:8" s="252" customFormat="1" ht="15.75" thickBot="1">
      <c r="A62" s="83" t="s">
        <v>106</v>
      </c>
      <c r="B62" s="84" t="s">
        <v>107</v>
      </c>
      <c r="C62" s="85">
        <v>53.87053367589432</v>
      </c>
      <c r="D62" s="86"/>
      <c r="E62" s="87">
        <v>75.507</v>
      </c>
      <c r="F62" s="87">
        <v>75.7</v>
      </c>
      <c r="G62" s="88">
        <v>0</v>
      </c>
      <c r="H62" s="89">
        <f t="shared" si="0"/>
        <v>-0.19299999999999784</v>
      </c>
    </row>
    <row r="63" spans="1:8" s="252" customFormat="1" ht="46.5" hidden="1" thickBot="1" thickTop="1">
      <c r="A63" s="161" t="s">
        <v>108</v>
      </c>
      <c r="B63" s="162" t="s">
        <v>109</v>
      </c>
      <c r="C63" s="92">
        <v>134.9409</v>
      </c>
      <c r="D63" s="93"/>
      <c r="E63" s="94" t="s">
        <v>110</v>
      </c>
      <c r="F63" s="94"/>
      <c r="G63" s="163">
        <v>0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2287.3209068854776</v>
      </c>
      <c r="D64" s="111"/>
      <c r="E64" s="167">
        <v>2201.9519299999997</v>
      </c>
      <c r="F64" s="167">
        <v>2083.19158</v>
      </c>
      <c r="G64" s="167">
        <v>0</v>
      </c>
      <c r="H64" s="168">
        <f>E64-F64</f>
        <v>118.76034999999956</v>
      </c>
    </row>
    <row r="65" spans="1:8" ht="15.75" thickTop="1">
      <c r="A65" s="169"/>
      <c r="B65" s="170" t="s">
        <v>113</v>
      </c>
      <c r="C65" s="269">
        <v>1239.840814081275</v>
      </c>
      <c r="D65" s="269"/>
      <c r="E65" s="172">
        <v>1218.92998</v>
      </c>
      <c r="F65" s="172">
        <v>1192.625</v>
      </c>
      <c r="G65" s="270">
        <v>0</v>
      </c>
      <c r="H65" s="271">
        <f>E65-F65</f>
        <v>26.304979999999887</v>
      </c>
    </row>
    <row r="66" spans="1:8" ht="15">
      <c r="A66" s="101"/>
      <c r="B66" s="116" t="s">
        <v>114</v>
      </c>
      <c r="C66" s="103">
        <v>239.92166285359693</v>
      </c>
      <c r="D66" s="103"/>
      <c r="E66" s="73">
        <v>225.15775</v>
      </c>
      <c r="F66" s="73">
        <v>223.502</v>
      </c>
      <c r="G66" s="272"/>
      <c r="H66" s="273">
        <f>E66-F66</f>
        <v>1.6557499999999834</v>
      </c>
    </row>
    <row r="67" spans="1:8" ht="15">
      <c r="A67" s="101"/>
      <c r="B67" s="116" t="s">
        <v>115</v>
      </c>
      <c r="C67" s="103">
        <v>209.71099759434352</v>
      </c>
      <c r="D67" s="103"/>
      <c r="E67" s="73">
        <v>196.80614</v>
      </c>
      <c r="F67" s="73">
        <v>195.306</v>
      </c>
      <c r="G67" s="272"/>
      <c r="H67" s="273">
        <f>E67-F67</f>
        <v>1.5001399999999876</v>
      </c>
    </row>
    <row r="68" spans="1:8" ht="15">
      <c r="A68" s="101"/>
      <c r="B68" s="116" t="s">
        <v>116</v>
      </c>
      <c r="C68" s="103">
        <v>281.618058488994</v>
      </c>
      <c r="D68" s="103"/>
      <c r="E68" s="73">
        <v>264.2883</v>
      </c>
      <c r="F68" s="73">
        <v>262.277</v>
      </c>
      <c r="G68" s="272"/>
      <c r="H68" s="273">
        <f>E68-F68</f>
        <v>2.0113000000000056</v>
      </c>
    </row>
    <row r="69" spans="1:8" ht="15.75" thickBot="1">
      <c r="A69" s="105"/>
      <c r="B69" s="174" t="s">
        <v>117</v>
      </c>
      <c r="C69" s="107">
        <v>316.2293738672681</v>
      </c>
      <c r="D69" s="107"/>
      <c r="E69" s="87">
        <v>296.76976</v>
      </c>
      <c r="F69" s="87">
        <v>209.48157999999998</v>
      </c>
      <c r="G69" s="274"/>
      <c r="H69" s="275">
        <f>22.30544+38.72202</f>
        <v>61.027460000000005</v>
      </c>
    </row>
    <row r="70" spans="1:8" ht="20.25" customHeight="1" thickBot="1" thickTop="1">
      <c r="A70" s="175" t="s">
        <v>118</v>
      </c>
      <c r="B70" s="166" t="s">
        <v>119</v>
      </c>
      <c r="C70" s="111">
        <v>4053.0348204975253</v>
      </c>
      <c r="D70" s="111"/>
      <c r="E70" s="166">
        <v>4211.215929999999</v>
      </c>
      <c r="F70" s="166">
        <v>4096.51158</v>
      </c>
      <c r="G70" s="166">
        <v>0</v>
      </c>
      <c r="H70" s="168">
        <f>H25+H64</f>
        <v>114.70434999999975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108.6864</v>
      </c>
      <c r="F71" s="166">
        <v>111.2207</v>
      </c>
      <c r="G71" s="166">
        <v>0</v>
      </c>
      <c r="H71" s="168">
        <f>E71-F71</f>
        <v>-2.5342999999999876</v>
      </c>
    </row>
    <row r="72" spans="1:8" ht="15.75" thickTop="1">
      <c r="A72" s="176"/>
      <c r="B72" s="170" t="s">
        <v>122</v>
      </c>
      <c r="C72" s="177"/>
      <c r="D72" s="177"/>
      <c r="E72" s="117">
        <v>108.6864</v>
      </c>
      <c r="F72" s="117">
        <v>111.2207</v>
      </c>
      <c r="G72" s="117"/>
      <c r="H72" s="273">
        <f>E72-F72</f>
        <v>-2.5342999999999876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384.275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355.16191</v>
      </c>
      <c r="D75" s="114"/>
      <c r="E75" s="180">
        <v>355.16191</v>
      </c>
      <c r="F75" s="180">
        <v>334.98615</v>
      </c>
      <c r="G75" s="180"/>
      <c r="H75" s="168">
        <f>E75-F75</f>
        <v>20.17575999999997</v>
      </c>
    </row>
    <row r="76" spans="1:8" ht="21.75" customHeight="1" thickTop="1">
      <c r="A76" s="276" t="s">
        <v>127</v>
      </c>
      <c r="B76" s="277" t="s">
        <v>128</v>
      </c>
      <c r="C76" s="277"/>
      <c r="D76" s="277"/>
      <c r="E76" s="277"/>
      <c r="F76" s="277"/>
      <c r="G76" s="391">
        <f>G77+G78+G79</f>
        <v>1057.0300499999996</v>
      </c>
      <c r="H76" s="391"/>
    </row>
    <row r="77" spans="1:8" ht="15.75" collapsed="1">
      <c r="A77" s="279"/>
      <c r="B77" s="280" t="s">
        <v>129</v>
      </c>
      <c r="C77" s="280"/>
      <c r="D77" s="280"/>
      <c r="E77" s="280"/>
      <c r="F77" s="280"/>
      <c r="G77" s="392">
        <f>E20+H25</f>
        <v>531.9940000000001</v>
      </c>
      <c r="H77" s="392"/>
    </row>
    <row r="78" spans="1:8" ht="15.75" collapsed="1">
      <c r="A78" s="279"/>
      <c r="B78" s="280" t="s">
        <v>130</v>
      </c>
      <c r="C78" s="280"/>
      <c r="D78" s="280"/>
      <c r="E78" s="280"/>
      <c r="F78" s="280"/>
      <c r="G78" s="392">
        <f>E21+H64</f>
        <v>506.57034999999956</v>
      </c>
      <c r="H78" s="392"/>
    </row>
    <row r="79" spans="1:8" ht="15.75">
      <c r="A79" s="279"/>
      <c r="B79" s="280" t="s">
        <v>131</v>
      </c>
      <c r="C79" s="280"/>
      <c r="D79" s="280"/>
      <c r="E79" s="280"/>
      <c r="F79" s="280"/>
      <c r="G79" s="392">
        <f>E22+H72</f>
        <v>18.465700000000012</v>
      </c>
      <c r="H79" s="392"/>
    </row>
    <row r="80" ht="6" customHeight="1"/>
    <row r="81" spans="2:8" ht="18">
      <c r="B81" s="283" t="s">
        <v>132</v>
      </c>
      <c r="C81" s="283"/>
      <c r="D81" s="283"/>
      <c r="E81" s="283"/>
      <c r="F81" s="283"/>
      <c r="G81" s="283" t="s">
        <v>133</v>
      </c>
      <c r="H81" s="283"/>
    </row>
    <row r="82" spans="2:8" ht="18">
      <c r="B82" s="283" t="s">
        <v>134</v>
      </c>
      <c r="C82" s="283"/>
      <c r="D82" s="283"/>
      <c r="E82" s="283"/>
      <c r="F82" s="283"/>
      <c r="G82" s="283"/>
      <c r="H82" s="283"/>
    </row>
    <row r="90" spans="1:8" s="252" customFormat="1" ht="14.25">
      <c r="A90" s="282"/>
      <c r="B90" s="249"/>
      <c r="C90" s="249"/>
      <c r="D90" s="249"/>
      <c r="E90" s="249"/>
      <c r="F90" s="249"/>
      <c r="G90" s="249"/>
      <c r="H90" s="249"/>
    </row>
    <row r="91" spans="1:8" s="252" customFormat="1" ht="14.25">
      <c r="A91" s="282"/>
      <c r="B91" s="249"/>
      <c r="C91" s="249"/>
      <c r="D91" s="249"/>
      <c r="E91" s="249"/>
      <c r="F91" s="249"/>
      <c r="G91" s="249"/>
      <c r="H91" s="249"/>
    </row>
    <row r="93" spans="1:8" s="267" customFormat="1" ht="16.5">
      <c r="A93" s="282"/>
      <c r="B93" s="249"/>
      <c r="C93" s="249"/>
      <c r="D93" s="249"/>
      <c r="E93" s="249"/>
      <c r="F93" s="249"/>
      <c r="G93" s="249"/>
      <c r="H93" s="249"/>
    </row>
    <row r="94" spans="1:8" s="284" customFormat="1" ht="14.25">
      <c r="A94" s="282"/>
      <c r="B94" s="249"/>
      <c r="C94" s="249"/>
      <c r="D94" s="249"/>
      <c r="E94" s="249"/>
      <c r="F94" s="249"/>
      <c r="G94" s="249"/>
      <c r="H94" s="249"/>
    </row>
    <row r="95" spans="1:8" s="284" customFormat="1" ht="14.25">
      <c r="A95" s="282"/>
      <c r="B95" s="249"/>
      <c r="C95" s="249"/>
      <c r="D95" s="249"/>
      <c r="E95" s="249"/>
      <c r="F95" s="249"/>
      <c r="G95" s="249"/>
      <c r="H95" s="249"/>
    </row>
    <row r="96" spans="1:8" s="284" customFormat="1" ht="14.25">
      <c r="A96" s="282"/>
      <c r="B96" s="249"/>
      <c r="C96" s="249"/>
      <c r="D96" s="249"/>
      <c r="E96" s="249"/>
      <c r="F96" s="249"/>
      <c r="G96" s="249"/>
      <c r="H96" s="249"/>
    </row>
    <row r="97" spans="1:8" s="284" customFormat="1" ht="14.25">
      <c r="A97" s="282"/>
      <c r="B97" s="249"/>
      <c r="C97" s="249"/>
      <c r="D97" s="249"/>
      <c r="E97" s="249"/>
      <c r="F97" s="249"/>
      <c r="G97" s="249"/>
      <c r="H97" s="249"/>
    </row>
    <row r="98" spans="1:8" s="284" customFormat="1" ht="14.25">
      <c r="A98" s="282"/>
      <c r="B98" s="249"/>
      <c r="C98" s="249"/>
      <c r="D98" s="249"/>
      <c r="E98" s="249"/>
      <c r="F98" s="249"/>
      <c r="G98" s="249"/>
      <c r="H98" s="249"/>
    </row>
    <row r="99" spans="1:8" s="285" customFormat="1" ht="14.25">
      <c r="A99" s="282"/>
      <c r="B99" s="249"/>
      <c r="C99" s="249"/>
      <c r="D99" s="249"/>
      <c r="E99" s="249"/>
      <c r="F99" s="249"/>
      <c r="G99" s="249"/>
      <c r="H99" s="249"/>
    </row>
    <row r="100" spans="1:8" s="285" customFormat="1" ht="14.25">
      <c r="A100" s="282"/>
      <c r="B100" s="249"/>
      <c r="C100" s="249"/>
      <c r="D100" s="249"/>
      <c r="E100" s="249"/>
      <c r="F100" s="249"/>
      <c r="G100" s="249"/>
      <c r="H100" s="249"/>
    </row>
    <row r="101" spans="1:8" s="252" customFormat="1" ht="14.25">
      <c r="A101" s="282"/>
      <c r="B101" s="249"/>
      <c r="C101" s="249"/>
      <c r="D101" s="249"/>
      <c r="E101" s="249"/>
      <c r="F101" s="249"/>
      <c r="G101" s="249"/>
      <c r="H101" s="249"/>
    </row>
    <row r="102" spans="1:8" s="286" customFormat="1" ht="16.5">
      <c r="A102" s="282"/>
      <c r="B102" s="249"/>
      <c r="C102" s="249"/>
      <c r="D102" s="249"/>
      <c r="E102" s="249"/>
      <c r="F102" s="249"/>
      <c r="G102" s="249"/>
      <c r="H102" s="249"/>
    </row>
    <row r="103" spans="1:8" s="284" customFormat="1" ht="14.25">
      <c r="A103" s="282"/>
      <c r="B103" s="249"/>
      <c r="C103" s="249"/>
      <c r="D103" s="249"/>
      <c r="E103" s="249"/>
      <c r="F103" s="249"/>
      <c r="G103" s="249"/>
      <c r="H103" s="249"/>
    </row>
    <row r="104" spans="1:8" s="284" customFormat="1" ht="14.25">
      <c r="A104" s="282"/>
      <c r="B104" s="249"/>
      <c r="C104" s="249"/>
      <c r="D104" s="249"/>
      <c r="E104" s="249"/>
      <c r="F104" s="249"/>
      <c r="G104" s="249"/>
      <c r="H104" s="249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6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7.57421875" style="187" customWidth="1"/>
    <col min="2" max="2" width="55.28125" style="140" customWidth="1"/>
    <col min="3" max="3" width="15.00390625" style="140" customWidth="1"/>
    <col min="4" max="4" width="10.140625" style="140" customWidth="1"/>
    <col min="5" max="5" width="19.421875" style="140" customWidth="1"/>
    <col min="6" max="6" width="27.421875" style="140" customWidth="1"/>
    <col min="7" max="7" width="22.7109375" style="140" customWidth="1"/>
    <col min="8" max="8" width="0.289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Набережная Урванцева </v>
      </c>
      <c r="E2" s="5"/>
      <c r="F2" s="5" t="s">
        <v>3</v>
      </c>
      <c r="G2" s="7">
        <f>D17</f>
        <v>41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168</v>
      </c>
      <c r="C17" s="31" t="s">
        <v>3</v>
      </c>
      <c r="D17" s="31">
        <v>41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938.52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413.86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497.89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26.77</v>
      </c>
      <c r="F22" s="8" t="s">
        <v>20</v>
      </c>
      <c r="G22" s="30"/>
    </row>
    <row r="23" spans="1:8" s="149" customFormat="1" ht="82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2084.0854656612582</v>
      </c>
      <c r="D25" s="57">
        <v>0</v>
      </c>
      <c r="E25" s="58">
        <v>2561.056</v>
      </c>
      <c r="F25" s="58">
        <v>2747.5899999999997</v>
      </c>
      <c r="G25" s="157">
        <v>42.680166</v>
      </c>
      <c r="H25" s="59">
        <f>E25-F25</f>
        <v>-186.53399999999965</v>
      </c>
    </row>
    <row r="26" spans="1:8" s="143" customFormat="1" ht="18">
      <c r="A26" s="60" t="s">
        <v>36</v>
      </c>
      <c r="B26" s="61" t="s">
        <v>37</v>
      </c>
      <c r="C26" s="62">
        <v>88.01086</v>
      </c>
      <c r="D26" s="62"/>
      <c r="E26" s="63">
        <v>449.492</v>
      </c>
      <c r="F26" s="63">
        <v>469.85</v>
      </c>
      <c r="G26" s="63">
        <v>7.407954</v>
      </c>
      <c r="H26" s="64">
        <f>E26-F26</f>
        <v>-20.358000000000004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1996.0746056612581</v>
      </c>
      <c r="D50" s="62">
        <v>0</v>
      </c>
      <c r="E50" s="63">
        <v>2111.564</v>
      </c>
      <c r="F50" s="63">
        <v>2277.74</v>
      </c>
      <c r="G50" s="63">
        <v>35.272211999999996</v>
      </c>
      <c r="H50" s="64">
        <f aca="true" t="shared" si="0" ref="H50:H62">E50-F50</f>
        <v>-166.17599999999993</v>
      </c>
    </row>
    <row r="51" spans="1:8" ht="15">
      <c r="A51" s="77" t="s">
        <v>84</v>
      </c>
      <c r="B51" s="78" t="s">
        <v>85</v>
      </c>
      <c r="C51" s="79">
        <v>280.4242123654413</v>
      </c>
      <c r="D51" s="80"/>
      <c r="E51" s="73">
        <v>143.831</v>
      </c>
      <c r="F51" s="73">
        <v>155.24</v>
      </c>
      <c r="G51" s="81">
        <v>2.3772119999999997</v>
      </c>
      <c r="H51" s="82">
        <f t="shared" si="0"/>
        <v>-11.40900000000002</v>
      </c>
    </row>
    <row r="52" spans="1:8" s="158" customFormat="1" ht="15">
      <c r="A52" s="77" t="s">
        <v>86</v>
      </c>
      <c r="B52" s="78" t="s">
        <v>87</v>
      </c>
      <c r="C52" s="79">
        <v>308.4044950146262</v>
      </c>
      <c r="D52" s="80"/>
      <c r="E52" s="73">
        <v>392.221</v>
      </c>
      <c r="F52" s="73">
        <v>423.13</v>
      </c>
      <c r="G52" s="81">
        <v>6.745668</v>
      </c>
      <c r="H52" s="82">
        <f t="shared" si="0"/>
        <v>-30.908999999999992</v>
      </c>
    </row>
    <row r="53" spans="1:8" s="159" customFormat="1" ht="16.5">
      <c r="A53" s="77" t="s">
        <v>88</v>
      </c>
      <c r="B53" s="78" t="s">
        <v>89</v>
      </c>
      <c r="C53" s="79">
        <v>61.511627877484834</v>
      </c>
      <c r="D53" s="80"/>
      <c r="E53" s="73">
        <v>60.184</v>
      </c>
      <c r="F53" s="73">
        <v>64.84</v>
      </c>
      <c r="G53" s="81">
        <v>1.004394</v>
      </c>
      <c r="H53" s="82">
        <f t="shared" si="0"/>
        <v>-4.656000000000006</v>
      </c>
    </row>
    <row r="54" spans="1:8" s="160" customFormat="1" ht="15">
      <c r="A54" s="77" t="s">
        <v>90</v>
      </c>
      <c r="B54" s="78" t="s">
        <v>91</v>
      </c>
      <c r="C54" s="79">
        <v>201.93599958630986</v>
      </c>
      <c r="D54" s="80"/>
      <c r="E54" s="73">
        <v>193.305</v>
      </c>
      <c r="F54" s="73">
        <v>208.54</v>
      </c>
      <c r="G54" s="81">
        <v>3.140376</v>
      </c>
      <c r="H54" s="82">
        <f t="shared" si="0"/>
        <v>-15.234999999999985</v>
      </c>
    </row>
    <row r="55" spans="1:8" ht="29.25" customHeight="1">
      <c r="A55" s="77" t="s">
        <v>92</v>
      </c>
      <c r="B55" s="78" t="s">
        <v>93</v>
      </c>
      <c r="C55" s="79">
        <v>766.1270046575015</v>
      </c>
      <c r="D55" s="80"/>
      <c r="E55" s="73">
        <v>959.896</v>
      </c>
      <c r="F55" s="73">
        <v>1035.29</v>
      </c>
      <c r="G55" s="81">
        <v>15.837845999999999</v>
      </c>
      <c r="H55" s="82">
        <f t="shared" si="0"/>
        <v>-75.394</v>
      </c>
    </row>
    <row r="56" spans="1:8" ht="15">
      <c r="A56" s="77" t="s">
        <v>94</v>
      </c>
      <c r="B56" s="78" t="s">
        <v>95</v>
      </c>
      <c r="C56" s="79">
        <v>225.51236353211124</v>
      </c>
      <c r="D56" s="80"/>
      <c r="E56" s="73">
        <v>204.016</v>
      </c>
      <c r="F56" s="73">
        <v>220.08</v>
      </c>
      <c r="G56" s="81">
        <v>3.5395019999999997</v>
      </c>
      <c r="H56" s="82">
        <f t="shared" si="0"/>
        <v>-16.06400000000002</v>
      </c>
    </row>
    <row r="57" spans="1:8" ht="15">
      <c r="A57" s="77" t="s">
        <v>96</v>
      </c>
      <c r="B57" s="78" t="s">
        <v>97</v>
      </c>
      <c r="C57" s="79">
        <v>22.016096353416984</v>
      </c>
      <c r="D57" s="80"/>
      <c r="E57" s="73">
        <v>31.622</v>
      </c>
      <c r="F57" s="73">
        <v>34.34</v>
      </c>
      <c r="G57" s="81">
        <v>0.5350919999999999</v>
      </c>
      <c r="H57" s="82">
        <f t="shared" si="0"/>
        <v>-2.7180000000000035</v>
      </c>
    </row>
    <row r="58" spans="1:8" ht="15">
      <c r="A58" s="77" t="s">
        <v>98</v>
      </c>
      <c r="B58" s="78" t="s">
        <v>99</v>
      </c>
      <c r="C58" s="79">
        <v>128.24734870343818</v>
      </c>
      <c r="D58" s="80"/>
      <c r="E58" s="73">
        <v>124.449</v>
      </c>
      <c r="F58" s="73">
        <v>134.08</v>
      </c>
      <c r="G58" s="81">
        <v>2.0614199999999996</v>
      </c>
      <c r="H58" s="82">
        <f t="shared" si="0"/>
        <v>-9.631000000000014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1.895457570927989</v>
      </c>
      <c r="D61" s="80"/>
      <c r="E61" s="73">
        <v>2.04</v>
      </c>
      <c r="F61" s="73">
        <v>2.2</v>
      </c>
      <c r="G61" s="81">
        <v>0.030702000000000004</v>
      </c>
      <c r="H61" s="82">
        <f t="shared" si="0"/>
        <v>-0.16000000000000014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389.24709400000006</v>
      </c>
      <c r="D63" s="93"/>
      <c r="E63" s="94" t="s">
        <v>110</v>
      </c>
      <c r="F63" s="94"/>
      <c r="G63" s="163">
        <v>3.658042515516149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3303.5197910472016</v>
      </c>
      <c r="D64" s="111"/>
      <c r="E64" s="167">
        <v>3116.688154</v>
      </c>
      <c r="F64" s="167">
        <v>3127.7213</v>
      </c>
      <c r="G64" s="167">
        <v>26.956355999999996</v>
      </c>
      <c r="H64" s="168">
        <f>E64-F64</f>
        <v>-11.033146000000215</v>
      </c>
    </row>
    <row r="65" spans="1:8" ht="15.75" thickTop="1">
      <c r="A65" s="169"/>
      <c r="B65" s="170" t="s">
        <v>113</v>
      </c>
      <c r="C65" s="171">
        <v>1703.6384350455642</v>
      </c>
      <c r="D65" s="171"/>
      <c r="E65" s="172">
        <v>1615.25772</v>
      </c>
      <c r="F65" s="172">
        <v>1706.412</v>
      </c>
      <c r="G65" s="163">
        <v>26.956355999999996</v>
      </c>
      <c r="H65" s="173">
        <f>E65-F65</f>
        <v>-91.15427999999997</v>
      </c>
    </row>
    <row r="66" spans="1:8" ht="15">
      <c r="A66" s="101"/>
      <c r="B66" s="116" t="s">
        <v>114</v>
      </c>
      <c r="C66" s="103">
        <v>424.7343375569015</v>
      </c>
      <c r="D66" s="103"/>
      <c r="E66" s="73">
        <v>398.59772</v>
      </c>
      <c r="F66" s="73">
        <v>403.915</v>
      </c>
      <c r="G66" s="81"/>
      <c r="H66" s="104">
        <f>E66-F66</f>
        <v>-5.317280000000039</v>
      </c>
    </row>
    <row r="67" spans="1:8" ht="15">
      <c r="A67" s="101"/>
      <c r="B67" s="116" t="s">
        <v>115</v>
      </c>
      <c r="C67" s="103">
        <v>363.8953030426911</v>
      </c>
      <c r="D67" s="103"/>
      <c r="E67" s="73">
        <v>341.5025</v>
      </c>
      <c r="F67" s="73">
        <v>346.707</v>
      </c>
      <c r="G67" s="81"/>
      <c r="H67" s="104">
        <f>E67-F67</f>
        <v>-5.204499999999996</v>
      </c>
    </row>
    <row r="68" spans="1:8" ht="15">
      <c r="A68" s="101"/>
      <c r="B68" s="116" t="s">
        <v>116</v>
      </c>
      <c r="C68" s="103">
        <v>491.65321356428893</v>
      </c>
      <c r="D68" s="103"/>
      <c r="E68" s="73">
        <v>461.39865</v>
      </c>
      <c r="F68" s="73">
        <v>468.264</v>
      </c>
      <c r="G68" s="81"/>
      <c r="H68" s="104">
        <f>E68-F68</f>
        <v>-6.865350000000035</v>
      </c>
    </row>
    <row r="69" spans="1:8" ht="15.75" thickBot="1">
      <c r="A69" s="105"/>
      <c r="B69" s="174" t="s">
        <v>117</v>
      </c>
      <c r="C69" s="107">
        <v>319.5985018377561</v>
      </c>
      <c r="D69" s="107"/>
      <c r="E69" s="87">
        <v>299.931564</v>
      </c>
      <c r="F69" s="87">
        <v>202.4233</v>
      </c>
      <c r="G69" s="88"/>
      <c r="H69" s="108">
        <f>57.37113+11.477804</f>
        <v>68.848934</v>
      </c>
    </row>
    <row r="70" spans="1:8" ht="20.25" customHeight="1" thickBot="1" thickTop="1">
      <c r="A70" s="175" t="s">
        <v>118</v>
      </c>
      <c r="B70" s="166" t="s">
        <v>119</v>
      </c>
      <c r="C70" s="111">
        <v>5387.60525670846</v>
      </c>
      <c r="D70" s="111"/>
      <c r="E70" s="166">
        <v>5677.744154</v>
      </c>
      <c r="F70" s="166">
        <v>5875.311299999999</v>
      </c>
      <c r="G70" s="166">
        <v>69.636522</v>
      </c>
      <c r="H70" s="168">
        <f>H25+H64</f>
        <v>-197.56714599999987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132.64092</v>
      </c>
      <c r="F71" s="166">
        <v>145.30013</v>
      </c>
      <c r="G71" s="166">
        <v>0</v>
      </c>
      <c r="H71" s="168">
        <f>E71-F71</f>
        <v>-12.659210000000002</v>
      </c>
    </row>
    <row r="72" spans="1:8" ht="15.75" thickTop="1">
      <c r="A72" s="176"/>
      <c r="B72" s="170" t="s">
        <v>122</v>
      </c>
      <c r="C72" s="177"/>
      <c r="D72" s="177"/>
      <c r="E72" s="117">
        <v>132.64092</v>
      </c>
      <c r="F72" s="117">
        <v>145.30013</v>
      </c>
      <c r="G72" s="117"/>
      <c r="H72" s="104">
        <f>E72-F72</f>
        <v>-12.659210000000002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543.184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4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728.2936440000001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227.32600000000036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486.85685399999977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14.110789999999998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7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4.00390625" style="140" customWidth="1"/>
    <col min="3" max="3" width="15.00390625" style="140" customWidth="1"/>
    <col min="4" max="4" width="10.140625" style="140" customWidth="1"/>
    <col min="5" max="5" width="21.140625" style="140" customWidth="1"/>
    <col min="6" max="6" width="27.421875" style="140" customWidth="1"/>
    <col min="7" max="7" width="20.140625" style="140" customWidth="1"/>
    <col min="8" max="8" width="16.281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Набережная Урванцева </v>
      </c>
      <c r="E2" s="5"/>
      <c r="F2" s="5" t="s">
        <v>3</v>
      </c>
      <c r="G2" s="7">
        <f>D17</f>
        <v>45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168</v>
      </c>
      <c r="C17" s="31" t="s">
        <v>3</v>
      </c>
      <c r="D17" s="31">
        <v>45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3532.5299999999997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1917.58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1532.78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82.17</v>
      </c>
      <c r="F22" s="8" t="s">
        <v>20</v>
      </c>
      <c r="G22" s="30"/>
    </row>
    <row r="23" spans="1:8" s="149" customFormat="1" ht="82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7960.449639885695</v>
      </c>
      <c r="D25" s="57">
        <v>0</v>
      </c>
      <c r="E25" s="58">
        <v>6993.816000000001</v>
      </c>
      <c r="F25" s="58">
        <v>6831.070000000001</v>
      </c>
      <c r="G25" s="157">
        <v>4.5424308</v>
      </c>
      <c r="H25" s="59">
        <f>E25-F25</f>
        <v>162.7460000000001</v>
      </c>
    </row>
    <row r="26" spans="1:8" s="143" customFormat="1" ht="18">
      <c r="A26" s="60" t="s">
        <v>36</v>
      </c>
      <c r="B26" s="61" t="s">
        <v>37</v>
      </c>
      <c r="C26" s="62">
        <v>2511.15867</v>
      </c>
      <c r="D26" s="62"/>
      <c r="E26" s="63">
        <v>1217.02</v>
      </c>
      <c r="F26" s="63">
        <v>1188.62</v>
      </c>
      <c r="G26" s="63">
        <v>0.7884251999999999</v>
      </c>
      <c r="H26" s="64">
        <f>E26-F26</f>
        <v>28.40000000000009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5449.290969885696</v>
      </c>
      <c r="D50" s="62">
        <v>0</v>
      </c>
      <c r="E50" s="63">
        <v>5776.796</v>
      </c>
      <c r="F50" s="63">
        <v>5642.450000000001</v>
      </c>
      <c r="G50" s="63">
        <v>3.7540055999999997</v>
      </c>
      <c r="H50" s="64">
        <f aca="true" t="shared" si="0" ref="H50:H59">E50-F50</f>
        <v>134.34599999999955</v>
      </c>
    </row>
    <row r="51" spans="1:8" ht="15">
      <c r="A51" s="77" t="s">
        <v>84</v>
      </c>
      <c r="B51" s="78" t="s">
        <v>85</v>
      </c>
      <c r="C51" s="79">
        <v>760.565694428419</v>
      </c>
      <c r="D51" s="80"/>
      <c r="E51" s="73">
        <v>390.098</v>
      </c>
      <c r="F51" s="73">
        <v>381.17</v>
      </c>
      <c r="G51" s="81">
        <v>0.2530056</v>
      </c>
      <c r="H51" s="82">
        <f t="shared" si="0"/>
        <v>8.927999999999997</v>
      </c>
    </row>
    <row r="52" spans="1:8" s="158" customFormat="1" ht="15">
      <c r="A52" s="77" t="s">
        <v>86</v>
      </c>
      <c r="B52" s="78" t="s">
        <v>87</v>
      </c>
      <c r="C52" s="79">
        <v>836.4532590214677</v>
      </c>
      <c r="D52" s="80"/>
      <c r="E52" s="73">
        <v>1063.78</v>
      </c>
      <c r="F52" s="73">
        <v>1039.01</v>
      </c>
      <c r="G52" s="81">
        <v>0.7179384</v>
      </c>
      <c r="H52" s="82">
        <f t="shared" si="0"/>
        <v>24.769999999999982</v>
      </c>
    </row>
    <row r="53" spans="1:8" s="159" customFormat="1" ht="16.5">
      <c r="A53" s="77" t="s">
        <v>88</v>
      </c>
      <c r="B53" s="78" t="s">
        <v>89</v>
      </c>
      <c r="C53" s="79">
        <v>166.8328134005318</v>
      </c>
      <c r="D53" s="80"/>
      <c r="E53" s="73">
        <v>163.232</v>
      </c>
      <c r="F53" s="73">
        <v>159.16</v>
      </c>
      <c r="G53" s="81">
        <v>0.10689720000000001</v>
      </c>
      <c r="H53" s="82">
        <f t="shared" si="0"/>
        <v>4.072000000000003</v>
      </c>
    </row>
    <row r="54" spans="1:8" s="160" customFormat="1" ht="15">
      <c r="A54" s="77" t="s">
        <v>90</v>
      </c>
      <c r="B54" s="78" t="s">
        <v>91</v>
      </c>
      <c r="C54" s="79">
        <v>547.6899604206311</v>
      </c>
      <c r="D54" s="80"/>
      <c r="E54" s="73">
        <v>524.281</v>
      </c>
      <c r="F54" s="73">
        <v>512.33</v>
      </c>
      <c r="G54" s="81">
        <v>0.3342288</v>
      </c>
      <c r="H54" s="82">
        <f t="shared" si="0"/>
        <v>11.950999999999908</v>
      </c>
    </row>
    <row r="55" spans="1:8" ht="30" customHeight="1">
      <c r="A55" s="77" t="s">
        <v>92</v>
      </c>
      <c r="B55" s="78" t="s">
        <v>93</v>
      </c>
      <c r="C55" s="79">
        <v>2077.8857262666543</v>
      </c>
      <c r="D55" s="80"/>
      <c r="E55" s="73">
        <v>2603.425</v>
      </c>
      <c r="F55" s="73">
        <v>2542.52</v>
      </c>
      <c r="G55" s="81">
        <v>1.6856148</v>
      </c>
      <c r="H55" s="82">
        <f t="shared" si="0"/>
        <v>60.9050000000002</v>
      </c>
    </row>
    <row r="56" spans="1:8" ht="15">
      <c r="A56" s="77" t="s">
        <v>94</v>
      </c>
      <c r="B56" s="78" t="s">
        <v>95</v>
      </c>
      <c r="C56" s="79">
        <v>611.6333112382688</v>
      </c>
      <c r="D56" s="80"/>
      <c r="E56" s="73">
        <v>553.331</v>
      </c>
      <c r="F56" s="73">
        <v>540.34</v>
      </c>
      <c r="G56" s="81">
        <v>0.3767076</v>
      </c>
      <c r="H56" s="82">
        <f t="shared" si="0"/>
        <v>12.990999999999985</v>
      </c>
    </row>
    <row r="57" spans="1:8" ht="17.25" customHeight="1">
      <c r="A57" s="77" t="s">
        <v>96</v>
      </c>
      <c r="B57" s="78" t="s">
        <v>97</v>
      </c>
      <c r="C57" s="79">
        <v>59.71262158772883</v>
      </c>
      <c r="D57" s="80"/>
      <c r="E57" s="73">
        <v>85.766</v>
      </c>
      <c r="F57" s="73">
        <v>84.02</v>
      </c>
      <c r="G57" s="81">
        <v>0.056949599999999996</v>
      </c>
      <c r="H57" s="82">
        <f t="shared" si="0"/>
        <v>1.7460000000000093</v>
      </c>
    </row>
    <row r="58" spans="1:8" ht="15">
      <c r="A58" s="77" t="s">
        <v>98</v>
      </c>
      <c r="B58" s="78" t="s">
        <v>99</v>
      </c>
      <c r="C58" s="79">
        <v>347.83392476089716</v>
      </c>
      <c r="D58" s="80"/>
      <c r="E58" s="73">
        <v>337.532</v>
      </c>
      <c r="F58" s="73">
        <v>329.94</v>
      </c>
      <c r="G58" s="81">
        <v>0.21939599999999998</v>
      </c>
      <c r="H58" s="82">
        <f t="shared" si="0"/>
        <v>7.5919999999999845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/>
    </row>
    <row r="61" spans="1:8" s="143" customFormat="1" ht="28.5">
      <c r="A61" s="77" t="s">
        <v>104</v>
      </c>
      <c r="B61" s="78" t="s">
        <v>105</v>
      </c>
      <c r="C61" s="79">
        <v>5.140964088208119</v>
      </c>
      <c r="D61" s="80"/>
      <c r="E61" s="73">
        <v>5.533</v>
      </c>
      <c r="F61" s="73">
        <v>5.46</v>
      </c>
      <c r="G61" s="81">
        <v>0.0032676</v>
      </c>
      <c r="H61" s="82"/>
    </row>
    <row r="62" spans="1:8" s="143" customFormat="1" ht="15.75" thickBot="1">
      <c r="A62" s="83" t="s">
        <v>106</v>
      </c>
      <c r="B62" s="84" t="s">
        <v>107</v>
      </c>
      <c r="C62" s="85">
        <v>35.54269467288732</v>
      </c>
      <c r="D62" s="86"/>
      <c r="E62" s="87">
        <v>49.818</v>
      </c>
      <c r="F62" s="87">
        <v>48.5</v>
      </c>
      <c r="G62" s="88">
        <v>0</v>
      </c>
      <c r="H62" s="89"/>
    </row>
    <row r="63" spans="1:8" s="143" customFormat="1" ht="46.5" hidden="1" thickBot="1" thickTop="1">
      <c r="A63" s="161" t="s">
        <v>108</v>
      </c>
      <c r="B63" s="162" t="s">
        <v>109</v>
      </c>
      <c r="C63" s="92">
        <v>-1321.7502448</v>
      </c>
      <c r="D63" s="93"/>
      <c r="E63" s="94" t="s">
        <v>110</v>
      </c>
      <c r="F63" s="94"/>
      <c r="G63" s="163">
        <v>0.38932381355288154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8179.7147268694225</v>
      </c>
      <c r="D64" s="111"/>
      <c r="E64" s="167">
        <v>7868.423813999999</v>
      </c>
      <c r="F64" s="167">
        <v>7497.78527</v>
      </c>
      <c r="G64" s="167">
        <v>2.8689528</v>
      </c>
      <c r="H64" s="168">
        <f>E64-F64</f>
        <v>370.63854399999855</v>
      </c>
    </row>
    <row r="65" spans="1:8" ht="15.75" thickTop="1">
      <c r="A65" s="169"/>
      <c r="B65" s="170" t="s">
        <v>113</v>
      </c>
      <c r="C65" s="171">
        <v>4456.657706578175</v>
      </c>
      <c r="D65" s="171"/>
      <c r="E65" s="172">
        <v>4374.47028</v>
      </c>
      <c r="F65" s="172">
        <v>4202.084</v>
      </c>
      <c r="G65" s="163">
        <v>2.8689528</v>
      </c>
      <c r="H65" s="173">
        <f>E65-F65</f>
        <v>172.38627999999972</v>
      </c>
    </row>
    <row r="66" spans="1:8" ht="15">
      <c r="A66" s="101"/>
      <c r="B66" s="116" t="s">
        <v>114</v>
      </c>
      <c r="C66" s="103">
        <v>966.0793020529187</v>
      </c>
      <c r="D66" s="103"/>
      <c r="E66" s="73">
        <v>906.63027</v>
      </c>
      <c r="F66" s="73">
        <v>890.823</v>
      </c>
      <c r="G66" s="81"/>
      <c r="H66" s="104">
        <f>E66-F66</f>
        <v>15.807270000000017</v>
      </c>
    </row>
    <row r="67" spans="1:8" ht="15">
      <c r="A67" s="101"/>
      <c r="B67" s="116" t="s">
        <v>115</v>
      </c>
      <c r="C67" s="103">
        <v>831.7637051916304</v>
      </c>
      <c r="D67" s="103"/>
      <c r="E67" s="73">
        <v>780.57997</v>
      </c>
      <c r="F67" s="73">
        <v>772.868</v>
      </c>
      <c r="G67" s="81"/>
      <c r="H67" s="104">
        <f>E67-F67</f>
        <v>7.711969999999951</v>
      </c>
    </row>
    <row r="68" spans="1:8" ht="15">
      <c r="A68" s="101"/>
      <c r="B68" s="116" t="s">
        <v>116</v>
      </c>
      <c r="C68" s="103">
        <v>1122.212548279791</v>
      </c>
      <c r="D68" s="103"/>
      <c r="E68" s="73">
        <v>1053.15564</v>
      </c>
      <c r="F68" s="73">
        <v>1039.049</v>
      </c>
      <c r="G68" s="81"/>
      <c r="H68" s="104">
        <f>E68-F68</f>
        <v>14.10663999999997</v>
      </c>
    </row>
    <row r="69" spans="1:8" ht="15.75" thickBot="1">
      <c r="A69" s="105"/>
      <c r="B69" s="174" t="s">
        <v>117</v>
      </c>
      <c r="C69" s="107">
        <v>803.001464766907</v>
      </c>
      <c r="D69" s="107"/>
      <c r="E69" s="87">
        <v>753.5876539999999</v>
      </c>
      <c r="F69" s="87">
        <v>592.96127</v>
      </c>
      <c r="G69" s="88"/>
      <c r="H69" s="108">
        <f>(81998.94+42520.144)/1000</f>
        <v>124.519084</v>
      </c>
    </row>
    <row r="70" spans="1:8" ht="20.25" customHeight="1" thickBot="1" thickTop="1">
      <c r="A70" s="175" t="s">
        <v>118</v>
      </c>
      <c r="B70" s="166" t="s">
        <v>119</v>
      </c>
      <c r="C70" s="111">
        <v>16140.164366755118</v>
      </c>
      <c r="D70" s="111"/>
      <c r="E70" s="166">
        <v>14862.239814</v>
      </c>
      <c r="F70" s="166">
        <v>14328.85527</v>
      </c>
      <c r="G70" s="166">
        <v>7.411383600000001</v>
      </c>
      <c r="H70" s="168">
        <f>H25+H64</f>
        <v>533.3845439999986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351.922</v>
      </c>
      <c r="F71" s="166">
        <v>342.25023999999996</v>
      </c>
      <c r="G71" s="166">
        <v>0</v>
      </c>
      <c r="H71" s="168">
        <f>E71-F71</f>
        <v>9.671760000000063</v>
      </c>
    </row>
    <row r="72" spans="1:8" ht="15.75" thickTop="1">
      <c r="A72" s="176"/>
      <c r="B72" s="170" t="s">
        <v>122</v>
      </c>
      <c r="C72" s="177"/>
      <c r="D72" s="177"/>
      <c r="E72" s="117">
        <v>351.922</v>
      </c>
      <c r="F72" s="117">
        <v>342.25023999999996</v>
      </c>
      <c r="G72" s="117"/>
      <c r="H72" s="104">
        <f>E72-F72</f>
        <v>9.671760000000063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752.182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8.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4075.5863039999986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2080.326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1903.4185439999985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91.84176000000006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8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7109375" style="140" customWidth="1"/>
    <col min="3" max="3" width="15.00390625" style="140" customWidth="1"/>
    <col min="4" max="4" width="8.8515625" style="140" customWidth="1"/>
    <col min="5" max="5" width="20.57421875" style="140" customWidth="1"/>
    <col min="6" max="6" width="25.8515625" style="140" customWidth="1"/>
    <col min="7" max="7" width="22.421875" style="140" customWidth="1"/>
    <col min="8" max="8" width="18.57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Набережная Урванцева </v>
      </c>
      <c r="E2" s="5"/>
      <c r="F2" s="5" t="s">
        <v>3</v>
      </c>
      <c r="G2" s="7">
        <f>D17</f>
        <v>49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168</v>
      </c>
      <c r="C17" s="31" t="s">
        <v>3</v>
      </c>
      <c r="D17" s="31">
        <v>49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2214.4500000000003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1284.87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877.51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52.07</v>
      </c>
      <c r="F22" s="8" t="s">
        <v>20</v>
      </c>
      <c r="G22" s="30"/>
    </row>
    <row r="23" spans="1:8" s="149" customFormat="1" ht="82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6255.045643260863</v>
      </c>
      <c r="D25" s="57">
        <v>0</v>
      </c>
      <c r="E25" s="58">
        <v>3728.5820000000003</v>
      </c>
      <c r="F25" s="58">
        <v>3696.44</v>
      </c>
      <c r="G25" s="157">
        <v>45.161570999999995</v>
      </c>
      <c r="H25" s="59">
        <f>E25-F25</f>
        <v>32.14200000000028</v>
      </c>
    </row>
    <row r="26" spans="1:8" s="143" customFormat="1" ht="18">
      <c r="A26" s="60" t="s">
        <v>36</v>
      </c>
      <c r="B26" s="61" t="s">
        <v>37</v>
      </c>
      <c r="C26" s="62">
        <v>3333.12806</v>
      </c>
      <c r="D26" s="62"/>
      <c r="E26" s="63">
        <v>637.607</v>
      </c>
      <c r="F26" s="63">
        <v>632.09</v>
      </c>
      <c r="G26" s="63">
        <v>7.838648999999999</v>
      </c>
      <c r="H26" s="64">
        <f>E26-F26</f>
        <v>5.516999999999939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2921.917583260862</v>
      </c>
      <c r="D50" s="62">
        <v>0</v>
      </c>
      <c r="E50" s="63">
        <v>3090.9750000000004</v>
      </c>
      <c r="F50" s="63">
        <v>3064.35</v>
      </c>
      <c r="G50" s="63">
        <v>37.32292199999999</v>
      </c>
      <c r="H50" s="64">
        <f aca="true" t="shared" si="0" ref="H50:H62">E50-F50</f>
        <v>26.625000000000455</v>
      </c>
    </row>
    <row r="51" spans="1:8" ht="15">
      <c r="A51" s="77" t="s">
        <v>84</v>
      </c>
      <c r="B51" s="78" t="s">
        <v>85</v>
      </c>
      <c r="C51" s="79">
        <v>410.49311600607297</v>
      </c>
      <c r="D51" s="80"/>
      <c r="E51" s="73">
        <v>210.544</v>
      </c>
      <c r="F51" s="73">
        <v>208.85</v>
      </c>
      <c r="G51" s="81">
        <v>2.5154219999999996</v>
      </c>
      <c r="H51" s="82">
        <f t="shared" si="0"/>
        <v>1.6940000000000168</v>
      </c>
    </row>
    <row r="52" spans="1:8" s="158" customFormat="1" ht="15">
      <c r="A52" s="77" t="s">
        <v>86</v>
      </c>
      <c r="B52" s="78" t="s">
        <v>87</v>
      </c>
      <c r="C52" s="79">
        <v>451.45185696373363</v>
      </c>
      <c r="D52" s="80"/>
      <c r="E52" s="73">
        <v>574.145</v>
      </c>
      <c r="F52" s="73">
        <v>569.25</v>
      </c>
      <c r="G52" s="81">
        <v>7.137858</v>
      </c>
      <c r="H52" s="82">
        <f t="shared" si="0"/>
        <v>4.894999999999982</v>
      </c>
    </row>
    <row r="53" spans="1:8" s="159" customFormat="1" ht="16.5">
      <c r="A53" s="77" t="s">
        <v>88</v>
      </c>
      <c r="B53" s="78" t="s">
        <v>89</v>
      </c>
      <c r="C53" s="79">
        <v>90.04344038293257</v>
      </c>
      <c r="D53" s="80"/>
      <c r="E53" s="73">
        <v>88.1</v>
      </c>
      <c r="F53" s="73">
        <v>87.24</v>
      </c>
      <c r="G53" s="81">
        <v>1.062789</v>
      </c>
      <c r="H53" s="82">
        <f t="shared" si="0"/>
        <v>0.8599999999999994</v>
      </c>
    </row>
    <row r="54" spans="1:8" s="160" customFormat="1" ht="15">
      <c r="A54" s="77" t="s">
        <v>90</v>
      </c>
      <c r="B54" s="78" t="s">
        <v>91</v>
      </c>
      <c r="C54" s="79">
        <v>295.600331387909</v>
      </c>
      <c r="D54" s="80"/>
      <c r="E54" s="73">
        <v>282.966</v>
      </c>
      <c r="F54" s="73">
        <v>280.56</v>
      </c>
      <c r="G54" s="81">
        <v>3.3229559999999996</v>
      </c>
      <c r="H54" s="82">
        <f t="shared" si="0"/>
        <v>2.406000000000006</v>
      </c>
    </row>
    <row r="55" spans="1:8" ht="29.25" customHeight="1">
      <c r="A55" s="77" t="s">
        <v>92</v>
      </c>
      <c r="B55" s="78" t="s">
        <v>93</v>
      </c>
      <c r="C55" s="79">
        <v>1121.480841201939</v>
      </c>
      <c r="D55" s="80"/>
      <c r="E55" s="73">
        <v>1405.126</v>
      </c>
      <c r="F55" s="73">
        <v>1392.81</v>
      </c>
      <c r="G55" s="81">
        <v>16.758650999999997</v>
      </c>
      <c r="H55" s="82">
        <f t="shared" si="0"/>
        <v>12.316000000000031</v>
      </c>
    </row>
    <row r="56" spans="1:8" ht="15">
      <c r="A56" s="77" t="s">
        <v>94</v>
      </c>
      <c r="B56" s="78" t="s">
        <v>95</v>
      </c>
      <c r="C56" s="79">
        <v>330.11204908951925</v>
      </c>
      <c r="D56" s="80"/>
      <c r="E56" s="73">
        <v>298.645</v>
      </c>
      <c r="F56" s="73">
        <v>296.08</v>
      </c>
      <c r="G56" s="81">
        <v>3.7452869999999994</v>
      </c>
      <c r="H56" s="82">
        <f t="shared" si="0"/>
        <v>2.5649999999999977</v>
      </c>
    </row>
    <row r="57" spans="1:8" ht="17.25" customHeight="1">
      <c r="A57" s="77" t="s">
        <v>96</v>
      </c>
      <c r="B57" s="78" t="s">
        <v>97</v>
      </c>
      <c r="C57" s="79">
        <v>32.22835684648891</v>
      </c>
      <c r="D57" s="80"/>
      <c r="E57" s="73">
        <v>46.29</v>
      </c>
      <c r="F57" s="73">
        <v>46.21</v>
      </c>
      <c r="G57" s="81">
        <v>0.5662019999999999</v>
      </c>
      <c r="H57" s="82">
        <f t="shared" si="0"/>
        <v>0.0799999999999983</v>
      </c>
    </row>
    <row r="58" spans="1:8" ht="15">
      <c r="A58" s="77" t="s">
        <v>98</v>
      </c>
      <c r="B58" s="78" t="s">
        <v>99</v>
      </c>
      <c r="C58" s="79">
        <v>187.73316182011462</v>
      </c>
      <c r="D58" s="80"/>
      <c r="E58" s="73">
        <v>182.173</v>
      </c>
      <c r="F58" s="73">
        <v>180.39</v>
      </c>
      <c r="G58" s="81">
        <v>2.181269999999999</v>
      </c>
      <c r="H58" s="82">
        <f t="shared" si="0"/>
        <v>1.7830000000000155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2.7744295621524393</v>
      </c>
      <c r="D61" s="80"/>
      <c r="E61" s="73">
        <v>2.986</v>
      </c>
      <c r="F61" s="73">
        <v>2.96</v>
      </c>
      <c r="G61" s="81">
        <v>0.032487</v>
      </c>
      <c r="H61" s="82">
        <f t="shared" si="0"/>
        <v>0.026000000000000245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-2693.199411</v>
      </c>
      <c r="D63" s="93"/>
      <c r="E63" s="94" t="s">
        <v>110</v>
      </c>
      <c r="F63" s="94"/>
      <c r="G63" s="163">
        <v>3.8707194059531345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4275.734285378427</v>
      </c>
      <c r="D64" s="111"/>
      <c r="E64" s="167">
        <v>4073.54135</v>
      </c>
      <c r="F64" s="167">
        <v>3906.2997000000005</v>
      </c>
      <c r="G64" s="167">
        <v>28.523585999999995</v>
      </c>
      <c r="H64" s="168">
        <f>E64-F64</f>
        <v>167.24164999999948</v>
      </c>
    </row>
    <row r="65" spans="1:8" ht="15.75" thickTop="1">
      <c r="A65" s="169"/>
      <c r="B65" s="170" t="s">
        <v>113</v>
      </c>
      <c r="C65" s="171">
        <v>2433.445409881048</v>
      </c>
      <c r="D65" s="171"/>
      <c r="E65" s="172">
        <v>2344.62028</v>
      </c>
      <c r="F65" s="172">
        <v>2312.501</v>
      </c>
      <c r="G65" s="163">
        <v>28.523585999999995</v>
      </c>
      <c r="H65" s="173">
        <f>E65-F65</f>
        <v>32.11927999999989</v>
      </c>
    </row>
    <row r="66" spans="1:8" ht="15">
      <c r="A66" s="101"/>
      <c r="B66" s="116" t="s">
        <v>114</v>
      </c>
      <c r="C66" s="103">
        <v>456.97355243528926</v>
      </c>
      <c r="D66" s="103"/>
      <c r="E66" s="73">
        <v>428.85305</v>
      </c>
      <c r="F66" s="73">
        <v>420.586</v>
      </c>
      <c r="G66" s="81"/>
      <c r="H66" s="104">
        <f>E66-F66</f>
        <v>8.267049999999983</v>
      </c>
    </row>
    <row r="67" spans="1:8" ht="15">
      <c r="A67" s="101"/>
      <c r="B67" s="116" t="s">
        <v>115</v>
      </c>
      <c r="C67" s="103">
        <v>402.1382776150386</v>
      </c>
      <c r="D67" s="103"/>
      <c r="E67" s="73">
        <v>377.39214</v>
      </c>
      <c r="F67" s="73">
        <v>369.65</v>
      </c>
      <c r="G67" s="81"/>
      <c r="H67" s="104">
        <f>E67-F67</f>
        <v>7.742140000000006</v>
      </c>
    </row>
    <row r="68" spans="1:8" ht="15">
      <c r="A68" s="101"/>
      <c r="B68" s="116" t="s">
        <v>116</v>
      </c>
      <c r="C68" s="103">
        <v>539.093518647747</v>
      </c>
      <c r="D68" s="103"/>
      <c r="E68" s="73">
        <v>505.91965</v>
      </c>
      <c r="F68" s="73">
        <v>496.549</v>
      </c>
      <c r="G68" s="81"/>
      <c r="H68" s="104">
        <f>E68-F68</f>
        <v>9.370650000000012</v>
      </c>
    </row>
    <row r="69" spans="1:8" ht="15.75" thickBot="1">
      <c r="A69" s="105"/>
      <c r="B69" s="174" t="s">
        <v>117</v>
      </c>
      <c r="C69" s="107">
        <v>444.08352679930454</v>
      </c>
      <c r="D69" s="107"/>
      <c r="E69" s="87">
        <v>416.75623</v>
      </c>
      <c r="F69" s="87">
        <v>307.0137</v>
      </c>
      <c r="G69" s="88"/>
      <c r="H69" s="108">
        <f>40.2695+43.390886</f>
        <v>83.660386</v>
      </c>
    </row>
    <row r="70" spans="1:8" ht="20.25" customHeight="1" thickBot="1" thickTop="1">
      <c r="A70" s="175" t="s">
        <v>118</v>
      </c>
      <c r="B70" s="166" t="s">
        <v>119</v>
      </c>
      <c r="C70" s="111">
        <v>10530.77992863929</v>
      </c>
      <c r="D70" s="111"/>
      <c r="E70" s="166">
        <v>7802.12335</v>
      </c>
      <c r="F70" s="166">
        <v>7602.7397</v>
      </c>
      <c r="G70" s="166">
        <v>73.68515699999999</v>
      </c>
      <c r="H70" s="168">
        <f>H25+H64</f>
        <v>199.38364999999976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202.89109</v>
      </c>
      <c r="F71" s="166">
        <v>200.39228</v>
      </c>
      <c r="G71" s="166">
        <v>0</v>
      </c>
      <c r="H71" s="168">
        <f>E71-F71</f>
        <v>2.4988099999999918</v>
      </c>
    </row>
    <row r="72" spans="1:8" ht="15.75" thickTop="1">
      <c r="A72" s="176"/>
      <c r="B72" s="170" t="s">
        <v>122</v>
      </c>
      <c r="C72" s="177"/>
      <c r="D72" s="177"/>
      <c r="E72" s="117">
        <v>202.89109</v>
      </c>
      <c r="F72" s="117">
        <v>200.39228</v>
      </c>
      <c r="G72" s="117"/>
      <c r="H72" s="104">
        <f>E72-F72</f>
        <v>2.4988099999999918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504.62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599.77659</v>
      </c>
      <c r="D75" s="114"/>
      <c r="E75" s="180">
        <v>599.77659</v>
      </c>
      <c r="F75" s="180">
        <v>559.91452</v>
      </c>
      <c r="G75" s="180"/>
      <c r="H75" s="168">
        <f>E75-F75</f>
        <v>39.86207000000002</v>
      </c>
    </row>
    <row r="76" spans="1:8" ht="24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183">
        <f>G77+G78+G79</f>
        <v>2416.33246</v>
      </c>
      <c r="H76" s="183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186">
        <f>E20+H25</f>
        <v>1317.0120000000002</v>
      </c>
      <c r="H77" s="186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186">
        <f>E21+H64</f>
        <v>1044.7516499999995</v>
      </c>
      <c r="H78" s="186"/>
    </row>
    <row r="79" spans="1:8" ht="15.75">
      <c r="A79" s="184"/>
      <c r="B79" s="185" t="s">
        <v>131</v>
      </c>
      <c r="C79" s="185"/>
      <c r="D79" s="185"/>
      <c r="E79" s="185"/>
      <c r="F79" s="185"/>
      <c r="G79" s="186">
        <f>E22+H72</f>
        <v>54.56880999999999</v>
      </c>
      <c r="H79" s="186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9">
    <tabColor theme="7" tint="0.39998000860214233"/>
  </sheetPr>
  <dimension ref="A1:H104"/>
  <sheetViews>
    <sheetView zoomScale="85" zoomScaleNormal="85"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57421875" style="187" customWidth="1"/>
    <col min="2" max="2" width="52.57421875" style="140" customWidth="1"/>
    <col min="3" max="3" width="17.421875" style="140" customWidth="1"/>
    <col min="4" max="4" width="11.140625" style="140" customWidth="1"/>
    <col min="5" max="5" width="17.421875" style="140" customWidth="1"/>
    <col min="6" max="6" width="24.7109375" style="140" customWidth="1"/>
    <col min="7" max="7" width="20.8515625" style="140" customWidth="1"/>
    <col min="8" max="8" width="4.8515625" style="140" hidden="1" customWidth="1"/>
    <col min="9" max="16384" width="9.140625" style="140" customWidth="1"/>
  </cols>
  <sheetData>
    <row r="1" spans="1:8" ht="18.75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s="141" customFormat="1" ht="15.75">
      <c r="A2" s="354"/>
      <c r="B2" s="355" t="s">
        <v>1</v>
      </c>
      <c r="C2" s="356" t="s">
        <v>2</v>
      </c>
      <c r="D2" s="356" t="str">
        <f>B17</f>
        <v>Орджоникидзе</v>
      </c>
      <c r="E2" s="356"/>
      <c r="F2" s="356" t="s">
        <v>3</v>
      </c>
      <c r="G2" s="357">
        <f>D17</f>
        <v>19</v>
      </c>
      <c r="H2" s="356"/>
    </row>
    <row r="3" spans="1:8" ht="35.25" customHeight="1">
      <c r="A3" s="358" t="s">
        <v>135</v>
      </c>
      <c r="B3" s="358"/>
      <c r="C3" s="358"/>
      <c r="D3" s="358"/>
      <c r="E3" s="358"/>
      <c r="F3" s="358"/>
      <c r="G3" s="358"/>
      <c r="H3" s="358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8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169</v>
      </c>
      <c r="C17" s="31" t="s">
        <v>3</v>
      </c>
      <c r="D17" s="31">
        <v>19</v>
      </c>
      <c r="E17" s="31" t="s">
        <v>18</v>
      </c>
      <c r="F17" s="31"/>
      <c r="G17" s="31"/>
      <c r="H17" s="33"/>
    </row>
    <row r="18" spans="1:8" s="141" customFormat="1" ht="3.7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135.08</v>
      </c>
      <c r="F19" s="39" t="s">
        <v>20</v>
      </c>
      <c r="G19" s="8"/>
      <c r="H19" s="8"/>
    </row>
    <row r="20" spans="1:8" s="141" customFormat="1" ht="15.75">
      <c r="A20" s="35"/>
      <c r="B20" s="8" t="s">
        <v>21</v>
      </c>
      <c r="C20" s="8"/>
      <c r="D20" s="8"/>
      <c r="E20" s="204">
        <v>21.73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113.29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0.06</v>
      </c>
      <c r="F22" s="8" t="s">
        <v>20</v>
      </c>
      <c r="G22" s="30"/>
      <c r="H22" s="30"/>
    </row>
    <row r="23" spans="1:8" s="149" customFormat="1" ht="66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0.7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159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3665.2498942196944</v>
      </c>
      <c r="D25" s="57">
        <v>0</v>
      </c>
      <c r="E25" s="58">
        <v>1567.9339999999997</v>
      </c>
      <c r="F25" s="58">
        <v>1534.46</v>
      </c>
      <c r="G25" s="352">
        <v>1613.2058402065163</v>
      </c>
      <c r="H25" s="59">
        <f>E25-F25</f>
        <v>33.473999999999705</v>
      </c>
    </row>
    <row r="26" spans="1:8" s="143" customFormat="1" ht="18">
      <c r="A26" s="60" t="s">
        <v>36</v>
      </c>
      <c r="B26" s="61" t="s">
        <v>37</v>
      </c>
      <c r="C26" s="62">
        <v>216.25</v>
      </c>
      <c r="D26" s="62"/>
      <c r="E26" s="63">
        <v>374.32</v>
      </c>
      <c r="F26" s="63">
        <v>366.27</v>
      </c>
      <c r="G26" s="313">
        <v>314.4</v>
      </c>
      <c r="H26" s="64">
        <f>E26-F26</f>
        <v>8.050000000000011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58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59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60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ht="18">
      <c r="A50" s="75" t="s">
        <v>82</v>
      </c>
      <c r="B50" s="76" t="s">
        <v>83</v>
      </c>
      <c r="C50" s="62">
        <v>3448.9998942196944</v>
      </c>
      <c r="D50" s="62">
        <v>0</v>
      </c>
      <c r="E50" s="63">
        <v>1193.6139999999998</v>
      </c>
      <c r="F50" s="63">
        <v>1168.19</v>
      </c>
      <c r="G50" s="63">
        <v>1298.8039999999999</v>
      </c>
      <c r="H50" s="64">
        <f aca="true" t="shared" si="0" ref="H50:H62">E50-F50</f>
        <v>25.42399999999975</v>
      </c>
    </row>
    <row r="51" spans="1:8" ht="15">
      <c r="A51" s="77" t="s">
        <v>84</v>
      </c>
      <c r="B51" s="78" t="s">
        <v>85</v>
      </c>
      <c r="C51" s="79">
        <v>353.86385041795097</v>
      </c>
      <c r="D51" s="80"/>
      <c r="E51" s="73">
        <v>82.327</v>
      </c>
      <c r="F51" s="73">
        <v>80.56</v>
      </c>
      <c r="G51" s="81">
        <v>87.49900000000001</v>
      </c>
      <c r="H51" s="82">
        <f t="shared" si="0"/>
        <v>1.766999999999996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36.28070854494643</v>
      </c>
      <c r="D53" s="80"/>
      <c r="E53" s="73">
        <v>16.414</v>
      </c>
      <c r="F53" s="73">
        <v>16.11</v>
      </c>
      <c r="G53" s="81">
        <v>18.13</v>
      </c>
      <c r="H53" s="82">
        <f t="shared" si="0"/>
        <v>0.30400000000000205</v>
      </c>
    </row>
    <row r="54" spans="1:8" ht="15">
      <c r="A54" s="77" t="s">
        <v>90</v>
      </c>
      <c r="B54" s="78" t="s">
        <v>91</v>
      </c>
      <c r="C54" s="79">
        <v>113.66977609886337</v>
      </c>
      <c r="D54" s="80"/>
      <c r="E54" s="73">
        <v>48.601</v>
      </c>
      <c r="F54" s="73">
        <v>47.57</v>
      </c>
      <c r="G54" s="81">
        <v>51.356</v>
      </c>
      <c r="H54" s="82">
        <f t="shared" si="0"/>
        <v>1.0309999999999988</v>
      </c>
    </row>
    <row r="55" spans="1:8" ht="28.5">
      <c r="A55" s="77" t="s">
        <v>92</v>
      </c>
      <c r="B55" s="78" t="s">
        <v>93</v>
      </c>
      <c r="C55" s="79">
        <v>1059.422105315387</v>
      </c>
      <c r="D55" s="80"/>
      <c r="E55" s="73">
        <v>344.569</v>
      </c>
      <c r="F55" s="73">
        <v>337.27</v>
      </c>
      <c r="G55" s="81">
        <v>370.342</v>
      </c>
      <c r="H55" s="82">
        <f t="shared" si="0"/>
        <v>7.299000000000035</v>
      </c>
    </row>
    <row r="56" spans="1:8" ht="15">
      <c r="A56" s="77" t="s">
        <v>94</v>
      </c>
      <c r="B56" s="78" t="s">
        <v>95</v>
      </c>
      <c r="C56" s="79">
        <v>84.1890222779055</v>
      </c>
      <c r="D56" s="80"/>
      <c r="E56" s="73">
        <v>31.161</v>
      </c>
      <c r="F56" s="73">
        <v>30.54</v>
      </c>
      <c r="G56" s="81">
        <v>45.183</v>
      </c>
      <c r="H56" s="82">
        <f t="shared" si="0"/>
        <v>0.6210000000000022</v>
      </c>
    </row>
    <row r="57" spans="1:8" ht="28.5">
      <c r="A57" s="77" t="s">
        <v>96</v>
      </c>
      <c r="B57" s="78" t="s">
        <v>97</v>
      </c>
      <c r="C57" s="79">
        <v>54.4796253814687</v>
      </c>
      <c r="D57" s="80"/>
      <c r="E57" s="73">
        <v>37.701</v>
      </c>
      <c r="F57" s="73">
        <v>36.83</v>
      </c>
      <c r="G57" s="81">
        <v>42.756</v>
      </c>
      <c r="H57" s="82">
        <f t="shared" si="0"/>
        <v>0.8710000000000022</v>
      </c>
    </row>
    <row r="58" spans="1:8" ht="15">
      <c r="A58" s="77" t="s">
        <v>98</v>
      </c>
      <c r="B58" s="78" t="s">
        <v>99</v>
      </c>
      <c r="C58" s="79">
        <v>84.86842639703798</v>
      </c>
      <c r="D58" s="80"/>
      <c r="E58" s="73">
        <v>34.495</v>
      </c>
      <c r="F58" s="73">
        <v>33.76</v>
      </c>
      <c r="G58" s="81">
        <v>32.868</v>
      </c>
      <c r="H58" s="82">
        <f t="shared" si="0"/>
        <v>0.7349999999999994</v>
      </c>
    </row>
    <row r="59" spans="1:8" ht="15">
      <c r="A59" s="77" t="s">
        <v>100</v>
      </c>
      <c r="B59" s="78" t="s">
        <v>101</v>
      </c>
      <c r="C59" s="79">
        <v>1661.3166542601466</v>
      </c>
      <c r="D59" s="80"/>
      <c r="E59" s="73">
        <v>597.834</v>
      </c>
      <c r="F59" s="73">
        <v>585.09</v>
      </c>
      <c r="G59" s="81">
        <v>650.1560000000001</v>
      </c>
      <c r="H59" s="82">
        <f t="shared" si="0"/>
        <v>12.743999999999915</v>
      </c>
    </row>
    <row r="60" spans="1:8" ht="28.5" hidden="1">
      <c r="A60" s="77" t="s">
        <v>102</v>
      </c>
      <c r="B60" s="78" t="s">
        <v>103</v>
      </c>
      <c r="C60" s="79"/>
      <c r="D60" s="79"/>
      <c r="E60" s="73"/>
      <c r="F60" s="73"/>
      <c r="G60" s="81">
        <v>0</v>
      </c>
      <c r="H60" s="82">
        <f t="shared" si="0"/>
        <v>0</v>
      </c>
    </row>
    <row r="61" spans="1:8" ht="28.5">
      <c r="A61" s="77" t="s">
        <v>104</v>
      </c>
      <c r="B61" s="78" t="s">
        <v>105</v>
      </c>
      <c r="C61" s="79">
        <v>0.9097255259882772</v>
      </c>
      <c r="D61" s="80"/>
      <c r="E61" s="73">
        <v>0.512</v>
      </c>
      <c r="F61" s="73">
        <v>0.46</v>
      </c>
      <c r="G61" s="81">
        <v>0.514</v>
      </c>
      <c r="H61" s="82">
        <f t="shared" si="0"/>
        <v>0.05199999999999999</v>
      </c>
    </row>
    <row r="62" spans="1:8" ht="15.75" thickBot="1">
      <c r="A62" s="83" t="s">
        <v>106</v>
      </c>
      <c r="B62" s="84" t="s">
        <v>107</v>
      </c>
      <c r="C62" s="79"/>
      <c r="D62" s="80"/>
      <c r="E62" s="87"/>
      <c r="F62" s="87"/>
      <c r="G62" s="81">
        <v>0</v>
      </c>
      <c r="H62" s="89">
        <f t="shared" si="0"/>
        <v>0</v>
      </c>
    </row>
    <row r="63" spans="1:8" ht="46.5" hidden="1" thickBot="1" thickTop="1">
      <c r="A63" s="359" t="s">
        <v>108</v>
      </c>
      <c r="B63" s="360" t="s">
        <v>155</v>
      </c>
      <c r="C63" s="393">
        <v>464.41999999999996</v>
      </c>
      <c r="D63" s="393"/>
      <c r="E63" s="362" t="s">
        <v>110</v>
      </c>
      <c r="F63" s="362"/>
      <c r="G63" s="363"/>
      <c r="H63" s="364"/>
    </row>
    <row r="64" spans="1:8" s="141" customFormat="1" ht="19.5" thickBot="1" thickTop="1">
      <c r="A64" s="165" t="s">
        <v>111</v>
      </c>
      <c r="B64" s="234" t="s">
        <v>112</v>
      </c>
      <c r="C64" s="114">
        <v>1625.9522084271418</v>
      </c>
      <c r="D64" s="114"/>
      <c r="E64" s="112">
        <v>1305.51189</v>
      </c>
      <c r="F64" s="112">
        <v>1328.21687</v>
      </c>
      <c r="G64" s="112">
        <v>19.249272</v>
      </c>
      <c r="H64" s="113">
        <f>E64-F64</f>
        <v>-22.704979999999978</v>
      </c>
    </row>
    <row r="65" spans="1:8" ht="15.75" thickTop="1">
      <c r="A65" s="176"/>
      <c r="B65" s="170" t="s">
        <v>113</v>
      </c>
      <c r="C65" s="171">
        <v>1120.629448000442</v>
      </c>
      <c r="D65" s="171"/>
      <c r="E65" s="163">
        <v>831.52035</v>
      </c>
      <c r="F65" s="163">
        <v>810.371</v>
      </c>
      <c r="G65" s="163">
        <v>19.249272</v>
      </c>
      <c r="H65" s="173">
        <f>E65-F65</f>
        <v>21.149350000000027</v>
      </c>
    </row>
    <row r="66" spans="1:8" ht="15">
      <c r="A66" s="115"/>
      <c r="B66" s="116" t="s">
        <v>114</v>
      </c>
      <c r="C66" s="103">
        <v>166.6796372974</v>
      </c>
      <c r="D66" s="103"/>
      <c r="E66" s="81">
        <v>168.91951</v>
      </c>
      <c r="F66" s="81">
        <v>168.372</v>
      </c>
      <c r="G66" s="81"/>
      <c r="H66" s="104">
        <f>E66-F66</f>
        <v>0.5475099999999884</v>
      </c>
    </row>
    <row r="67" spans="1:8" ht="15">
      <c r="A67" s="115"/>
      <c r="B67" s="116" t="s">
        <v>115</v>
      </c>
      <c r="C67" s="103">
        <v>49.436476250400005</v>
      </c>
      <c r="D67" s="103"/>
      <c r="E67" s="81">
        <v>50.12418</v>
      </c>
      <c r="F67" s="81">
        <v>50.048</v>
      </c>
      <c r="G67" s="81"/>
      <c r="H67" s="104">
        <f>E67-F67</f>
        <v>0.0761800000000008</v>
      </c>
    </row>
    <row r="68" spans="1:8" ht="15">
      <c r="A68" s="115"/>
      <c r="B68" s="116" t="s">
        <v>116</v>
      </c>
      <c r="C68" s="103">
        <v>106.6628121714</v>
      </c>
      <c r="D68" s="103"/>
      <c r="E68" s="81">
        <v>107.04926</v>
      </c>
      <c r="F68" s="81">
        <v>106.767</v>
      </c>
      <c r="G68" s="81"/>
      <c r="H68" s="104">
        <f>E68-F68</f>
        <v>0.28226000000000795</v>
      </c>
    </row>
    <row r="69" spans="1:8" ht="15.75" thickBot="1">
      <c r="A69" s="318"/>
      <c r="B69" s="174" t="s">
        <v>117</v>
      </c>
      <c r="C69" s="107">
        <v>182.54383470750003</v>
      </c>
      <c r="D69" s="107"/>
      <c r="E69" s="88">
        <v>147.89859</v>
      </c>
      <c r="F69" s="88">
        <v>192.65887</v>
      </c>
      <c r="G69" s="88"/>
      <c r="H69" s="108">
        <f>-38.22996-3.80224</f>
        <v>-42.032199999999996</v>
      </c>
    </row>
    <row r="70" spans="1:8" ht="19.5" thickBot="1" thickTop="1">
      <c r="A70" s="165" t="s">
        <v>118</v>
      </c>
      <c r="B70" s="234" t="s">
        <v>119</v>
      </c>
      <c r="C70" s="114">
        <v>5291.2021026468365</v>
      </c>
      <c r="D70" s="114"/>
      <c r="E70" s="112">
        <v>2873.44589</v>
      </c>
      <c r="F70" s="112">
        <v>2862.6768700000002</v>
      </c>
      <c r="G70" s="112">
        <v>1632.4551122065163</v>
      </c>
      <c r="H70" s="113">
        <f>H25+H64</f>
        <v>10.769019999999728</v>
      </c>
    </row>
    <row r="71" spans="1:8" ht="19.5" thickBot="1" thickTop="1">
      <c r="A71" s="165" t="s">
        <v>120</v>
      </c>
      <c r="B71" s="234" t="s">
        <v>121</v>
      </c>
      <c r="C71" s="114"/>
      <c r="D71" s="114"/>
      <c r="E71" s="112">
        <v>2.11755</v>
      </c>
      <c r="F71" s="112">
        <v>2.10165</v>
      </c>
      <c r="G71" s="112">
        <v>0</v>
      </c>
      <c r="H71" s="113">
        <f>E71-F71</f>
        <v>0.015900000000000247</v>
      </c>
    </row>
    <row r="72" spans="1:8" ht="15.75" thickTop="1">
      <c r="A72" s="115"/>
      <c r="B72" s="116" t="s">
        <v>122</v>
      </c>
      <c r="C72" s="118"/>
      <c r="D72" s="118"/>
      <c r="E72" s="119">
        <v>2.11755</v>
      </c>
      <c r="F72" s="119">
        <v>2.10165</v>
      </c>
      <c r="G72" s="119"/>
      <c r="H72" s="104">
        <f>E72-F72</f>
        <v>0.015900000000000247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04">
        <f>E73-F73</f>
        <v>0</v>
      </c>
    </row>
    <row r="74" spans="1:8" ht="33" customHeight="1" thickBot="1">
      <c r="A74" s="120"/>
      <c r="B74" s="121" t="s">
        <v>124</v>
      </c>
      <c r="C74" s="122"/>
      <c r="D74" s="123"/>
      <c r="E74" s="124">
        <v>5.186</v>
      </c>
      <c r="F74" s="125" t="s">
        <v>110</v>
      </c>
      <c r="G74" s="126"/>
      <c r="H74" s="127"/>
    </row>
    <row r="75" spans="1:8" ht="34.5" customHeight="1" thickBot="1" thickTop="1">
      <c r="A75" s="109" t="s">
        <v>125</v>
      </c>
      <c r="B75" s="110" t="s">
        <v>126</v>
      </c>
      <c r="C75" s="367">
        <v>111.55829</v>
      </c>
      <c r="D75" s="367"/>
      <c r="E75" s="368">
        <v>111.55829</v>
      </c>
      <c r="F75" s="368">
        <v>111.55829</v>
      </c>
      <c r="G75" s="368"/>
      <c r="H75" s="369">
        <f>E75-F75</f>
        <v>0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145.86491999999973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55.20399999999971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90.58502000000003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0.07590000000000025</v>
      </c>
      <c r="H79" s="326"/>
    </row>
    <row r="80" ht="8.25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60">
    <tabColor theme="9" tint="0.39998000860214233"/>
  </sheetPr>
  <dimension ref="A1:H104"/>
  <sheetViews>
    <sheetView zoomScaleSheetLayoutView="80" zoomScalePageLayoutView="0" workbookViewId="0" topLeftCell="A1">
      <selection activeCell="F75" sqref="F75"/>
    </sheetView>
  </sheetViews>
  <sheetFormatPr defaultColWidth="9.140625" defaultRowHeight="15"/>
  <cols>
    <col min="1" max="1" width="8.57421875" style="187" customWidth="1"/>
    <col min="2" max="2" width="54.8515625" style="140" customWidth="1"/>
    <col min="3" max="3" width="15.28125" style="140" customWidth="1"/>
    <col min="4" max="4" width="10.140625" style="140" customWidth="1"/>
    <col min="5" max="5" width="20.140625" style="140" customWidth="1"/>
    <col min="6" max="6" width="23.8515625" style="140" customWidth="1"/>
    <col min="7" max="7" width="22.00390625" style="140" customWidth="1"/>
    <col min="8" max="8" width="21.140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Севастопольская</v>
      </c>
      <c r="E2" s="5"/>
      <c r="F2" s="5" t="s">
        <v>3</v>
      </c>
      <c r="G2" s="7">
        <f>D17</f>
        <v>13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170</v>
      </c>
      <c r="C17" s="31" t="s">
        <v>3</v>
      </c>
      <c r="D17" s="31">
        <v>13</v>
      </c>
      <c r="E17" s="31" t="s">
        <v>18</v>
      </c>
      <c r="F17" s="31"/>
      <c r="G17" s="31"/>
      <c r="H17" s="33"/>
    </row>
    <row r="18" spans="1:8" s="141" customFormat="1" ht="10.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2677.6000000000004</v>
      </c>
      <c r="F19" s="39" t="s">
        <v>20</v>
      </c>
      <c r="G19" s="8"/>
      <c r="H19" s="8"/>
    </row>
    <row r="20" spans="1:8" s="141" customFormat="1" ht="18">
      <c r="A20" s="35"/>
      <c r="B20" s="8" t="s">
        <v>21</v>
      </c>
      <c r="C20" s="8"/>
      <c r="D20" s="8"/>
      <c r="E20" s="146">
        <v>1208.14</v>
      </c>
      <c r="F20" s="8" t="s">
        <v>20</v>
      </c>
      <c r="G20" s="8"/>
      <c r="H20" s="8"/>
    </row>
    <row r="21" spans="1:8" s="141" customFormat="1" ht="18">
      <c r="A21" s="41"/>
      <c r="B21" s="8" t="s">
        <v>22</v>
      </c>
      <c r="C21" s="8"/>
      <c r="D21" s="8"/>
      <c r="E21" s="146">
        <v>1464.91</v>
      </c>
      <c r="F21" s="8" t="s">
        <v>20</v>
      </c>
      <c r="G21" s="8"/>
      <c r="H21" s="8"/>
    </row>
    <row r="22" spans="1:8" s="143" customFormat="1" ht="18">
      <c r="A22" s="42"/>
      <c r="B22" s="8" t="s">
        <v>23</v>
      </c>
      <c r="C22" s="43"/>
      <c r="D22" s="43"/>
      <c r="E22" s="146">
        <v>4.55</v>
      </c>
      <c r="F22" s="8" t="s">
        <v>20</v>
      </c>
      <c r="G22" s="30"/>
      <c r="H22" s="30"/>
    </row>
    <row r="23" spans="1:8" s="149" customFormat="1" ht="78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29.2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146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5954.141636930145</v>
      </c>
      <c r="D25" s="57">
        <v>0</v>
      </c>
      <c r="E25" s="58">
        <v>5131.762</v>
      </c>
      <c r="F25" s="58">
        <v>5338.33</v>
      </c>
      <c r="G25" s="157">
        <v>34.5506874</v>
      </c>
      <c r="H25" s="59">
        <f>E25-F25</f>
        <v>-206.5680000000002</v>
      </c>
    </row>
    <row r="26" spans="1:8" s="143" customFormat="1" ht="18">
      <c r="A26" s="60" t="s">
        <v>36</v>
      </c>
      <c r="B26" s="61" t="s">
        <v>37</v>
      </c>
      <c r="C26" s="62">
        <v>711.96</v>
      </c>
      <c r="D26" s="62"/>
      <c r="E26" s="63">
        <v>1214.09</v>
      </c>
      <c r="F26" s="63">
        <v>1251.3</v>
      </c>
      <c r="G26" s="313">
        <v>8.381388600000001</v>
      </c>
      <c r="H26" s="64">
        <f>E26-F26</f>
        <v>-37.210000000000036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58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58" customFormat="1" ht="18">
      <c r="A50" s="75" t="s">
        <v>82</v>
      </c>
      <c r="B50" s="76" t="s">
        <v>83</v>
      </c>
      <c r="C50" s="62">
        <v>5242.181636930145</v>
      </c>
      <c r="D50" s="62">
        <v>0</v>
      </c>
      <c r="E50" s="63">
        <v>3917.672</v>
      </c>
      <c r="F50" s="63">
        <v>4087.03</v>
      </c>
      <c r="G50" s="63">
        <v>26.169298800000004</v>
      </c>
      <c r="H50" s="64">
        <f aca="true" t="shared" si="0" ref="H50:H61">E50-F50</f>
        <v>-169.35800000000017</v>
      </c>
    </row>
    <row r="51" spans="1:8" s="158" customFormat="1" ht="15">
      <c r="A51" s="77" t="s">
        <v>84</v>
      </c>
      <c r="B51" s="78" t="s">
        <v>85</v>
      </c>
      <c r="C51" s="79">
        <v>537.0815783094895</v>
      </c>
      <c r="D51" s="80"/>
      <c r="E51" s="73">
        <v>256.071</v>
      </c>
      <c r="F51" s="73">
        <v>267.45</v>
      </c>
      <c r="G51" s="81">
        <v>1.6846764</v>
      </c>
      <c r="H51" s="82">
        <f t="shared" si="0"/>
        <v>-11.378999999999962</v>
      </c>
    </row>
    <row r="52" spans="1:8" s="158" customFormat="1" ht="15">
      <c r="A52" s="77" t="s">
        <v>86</v>
      </c>
      <c r="B52" s="78" t="s">
        <v>87</v>
      </c>
      <c r="C52" s="79">
        <v>343.16217957516903</v>
      </c>
      <c r="D52" s="80"/>
      <c r="E52" s="73">
        <v>334.807</v>
      </c>
      <c r="F52" s="73">
        <v>346.99</v>
      </c>
      <c r="G52" s="81">
        <v>2.3244582</v>
      </c>
      <c r="H52" s="82">
        <f t="shared" si="0"/>
        <v>-12.182999999999993</v>
      </c>
    </row>
    <row r="53" spans="1:8" s="158" customFormat="1" ht="15">
      <c r="A53" s="77" t="s">
        <v>88</v>
      </c>
      <c r="B53" s="78" t="s">
        <v>89</v>
      </c>
      <c r="C53" s="79">
        <v>66.75789533741953</v>
      </c>
      <c r="D53" s="80"/>
      <c r="E53" s="73">
        <v>63.13</v>
      </c>
      <c r="F53" s="73">
        <v>65.66</v>
      </c>
      <c r="G53" s="81">
        <v>0.432285</v>
      </c>
      <c r="H53" s="82">
        <f t="shared" si="0"/>
        <v>-2.529999999999994</v>
      </c>
    </row>
    <row r="54" spans="1:8" s="158" customFormat="1" ht="15">
      <c r="A54" s="77" t="s">
        <v>90</v>
      </c>
      <c r="B54" s="78" t="s">
        <v>91</v>
      </c>
      <c r="C54" s="79">
        <v>307.7314493890436</v>
      </c>
      <c r="D54" s="80"/>
      <c r="E54" s="73">
        <v>268.839</v>
      </c>
      <c r="F54" s="73">
        <v>280.8</v>
      </c>
      <c r="G54" s="81">
        <v>1.7686632</v>
      </c>
      <c r="H54" s="82">
        <f t="shared" si="0"/>
        <v>-11.961000000000013</v>
      </c>
    </row>
    <row r="55" spans="1:8" s="158" customFormat="1" ht="31.5" customHeight="1">
      <c r="A55" s="77" t="s">
        <v>92</v>
      </c>
      <c r="B55" s="78" t="s">
        <v>93</v>
      </c>
      <c r="C55" s="79">
        <v>1595.6264341242002</v>
      </c>
      <c r="D55" s="80"/>
      <c r="E55" s="73">
        <v>1069.681</v>
      </c>
      <c r="F55" s="73">
        <v>1116.78</v>
      </c>
      <c r="G55" s="81">
        <v>7.0672422</v>
      </c>
      <c r="H55" s="82">
        <f t="shared" si="0"/>
        <v>-47.09899999999993</v>
      </c>
    </row>
    <row r="56" spans="1:8" s="158" customFormat="1" ht="15">
      <c r="A56" s="77" t="s">
        <v>94</v>
      </c>
      <c r="B56" s="78" t="s">
        <v>95</v>
      </c>
      <c r="C56" s="79">
        <v>163.8309979327612</v>
      </c>
      <c r="D56" s="80"/>
      <c r="E56" s="73">
        <v>147.542</v>
      </c>
      <c r="F56" s="73">
        <v>153.74</v>
      </c>
      <c r="G56" s="81">
        <v>1.0226628</v>
      </c>
      <c r="H56" s="82">
        <f t="shared" si="0"/>
        <v>-6.1980000000000075</v>
      </c>
    </row>
    <row r="57" spans="1:8" s="158" customFormat="1" ht="15">
      <c r="A57" s="77" t="s">
        <v>96</v>
      </c>
      <c r="B57" s="78" t="s">
        <v>97</v>
      </c>
      <c r="C57" s="79">
        <v>131.4755521591905</v>
      </c>
      <c r="D57" s="80"/>
      <c r="E57" s="73">
        <v>192.939</v>
      </c>
      <c r="F57" s="73">
        <v>201.26</v>
      </c>
      <c r="G57" s="81">
        <v>1.2276894000000003</v>
      </c>
      <c r="H57" s="82">
        <f t="shared" si="0"/>
        <v>-8.320999999999998</v>
      </c>
    </row>
    <row r="58" spans="1:8" s="158" customFormat="1" ht="15">
      <c r="A58" s="77" t="s">
        <v>98</v>
      </c>
      <c r="B58" s="78" t="s">
        <v>99</v>
      </c>
      <c r="C58" s="79">
        <v>457.02171744709347</v>
      </c>
      <c r="D58" s="80"/>
      <c r="E58" s="73">
        <v>360.343</v>
      </c>
      <c r="F58" s="73">
        <v>376.35</v>
      </c>
      <c r="G58" s="81">
        <v>2.4109152</v>
      </c>
      <c r="H58" s="82">
        <f t="shared" si="0"/>
        <v>-16.007000000000005</v>
      </c>
    </row>
    <row r="59" spans="1:8" s="158" customFormat="1" ht="15">
      <c r="A59" s="77" t="s">
        <v>100</v>
      </c>
      <c r="B59" s="78" t="s">
        <v>101</v>
      </c>
      <c r="C59" s="79">
        <v>1636.9603522252053</v>
      </c>
      <c r="D59" s="80"/>
      <c r="E59" s="73">
        <v>1221.48</v>
      </c>
      <c r="F59" s="73">
        <v>1275.33</v>
      </c>
      <c r="G59" s="81">
        <v>8.213415000000001</v>
      </c>
      <c r="H59" s="82">
        <f t="shared" si="0"/>
        <v>-53.84999999999991</v>
      </c>
    </row>
    <row r="60" spans="1:8" s="158" customFormat="1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58" customFormat="1" ht="28.5">
      <c r="A61" s="77" t="s">
        <v>104</v>
      </c>
      <c r="B61" s="78" t="s">
        <v>105</v>
      </c>
      <c r="C61" s="79">
        <v>2.533480430571911</v>
      </c>
      <c r="D61" s="80"/>
      <c r="E61" s="73">
        <v>2.84</v>
      </c>
      <c r="F61" s="73">
        <v>2.67</v>
      </c>
      <c r="G61" s="81">
        <v>0.017291400000000002</v>
      </c>
      <c r="H61" s="82">
        <f t="shared" si="0"/>
        <v>0.16999999999999993</v>
      </c>
    </row>
    <row r="62" spans="1:8" s="158" customFormat="1" ht="15.75" thickBot="1">
      <c r="A62" s="83" t="s">
        <v>106</v>
      </c>
      <c r="B62" s="84" t="s">
        <v>107</v>
      </c>
      <c r="C62" s="79"/>
      <c r="D62" s="80"/>
      <c r="E62" s="87"/>
      <c r="F62" s="87"/>
      <c r="G62" s="88">
        <v>0</v>
      </c>
      <c r="H62" s="89"/>
    </row>
    <row r="63" spans="1:8" ht="46.5" hidden="1" thickBot="1" thickTop="1">
      <c r="A63" s="216" t="s">
        <v>108</v>
      </c>
      <c r="B63" s="217" t="s">
        <v>155</v>
      </c>
      <c r="C63" s="316">
        <v>547.7213886</v>
      </c>
      <c r="D63" s="316"/>
      <c r="E63" s="317" t="s">
        <v>110</v>
      </c>
      <c r="F63" s="317"/>
      <c r="G63" s="94"/>
      <c r="H63" s="220"/>
    </row>
    <row r="64" spans="1:8" s="141" customFormat="1" ht="19.5" thickBot="1" thickTop="1">
      <c r="A64" s="165" t="s">
        <v>111</v>
      </c>
      <c r="B64" s="234" t="s">
        <v>112</v>
      </c>
      <c r="C64" s="114">
        <v>7274.912347070005</v>
      </c>
      <c r="D64" s="114"/>
      <c r="E64" s="112">
        <v>7167.862519</v>
      </c>
      <c r="F64" s="112">
        <v>7442.67351</v>
      </c>
      <c r="G64" s="112">
        <v>15.1818492</v>
      </c>
      <c r="H64" s="235">
        <f>E64-F64</f>
        <v>-274.8109909999994</v>
      </c>
    </row>
    <row r="65" spans="1:8" ht="15.75" thickTop="1">
      <c r="A65" s="176"/>
      <c r="B65" s="170" t="s">
        <v>113</v>
      </c>
      <c r="C65" s="171">
        <v>2679.8683231825894</v>
      </c>
      <c r="D65" s="171"/>
      <c r="E65" s="163">
        <v>2227.8085</v>
      </c>
      <c r="F65" s="163">
        <v>2302.982</v>
      </c>
      <c r="G65" s="172">
        <v>15.1818492</v>
      </c>
      <c r="H65" s="226">
        <f>E65-F65</f>
        <v>-75.17349999999988</v>
      </c>
    </row>
    <row r="66" spans="1:8" ht="15">
      <c r="A66" s="115"/>
      <c r="B66" s="116" t="s">
        <v>114</v>
      </c>
      <c r="C66" s="103">
        <v>1257.3162243322565</v>
      </c>
      <c r="D66" s="103"/>
      <c r="E66" s="81">
        <v>1356.54259</v>
      </c>
      <c r="F66" s="81">
        <v>1422.41</v>
      </c>
      <c r="G66" s="81"/>
      <c r="H66" s="179">
        <f>E66-F66</f>
        <v>-65.86741000000006</v>
      </c>
    </row>
    <row r="67" spans="1:8" ht="15">
      <c r="A67" s="115"/>
      <c r="B67" s="116" t="s">
        <v>115</v>
      </c>
      <c r="C67" s="103">
        <v>1078.91185454605</v>
      </c>
      <c r="D67" s="103"/>
      <c r="E67" s="81">
        <v>1192.8205</v>
      </c>
      <c r="F67" s="81">
        <v>1245.23</v>
      </c>
      <c r="G67" s="81"/>
      <c r="H67" s="179">
        <f>E67-F67</f>
        <v>-52.40949999999998</v>
      </c>
    </row>
    <row r="68" spans="1:8" ht="15">
      <c r="A68" s="115"/>
      <c r="B68" s="116" t="s">
        <v>116</v>
      </c>
      <c r="C68" s="103">
        <v>1454.4203061995456</v>
      </c>
      <c r="D68" s="103"/>
      <c r="E68" s="81">
        <v>1598.18469</v>
      </c>
      <c r="F68" s="81">
        <v>1668.764</v>
      </c>
      <c r="G68" s="81"/>
      <c r="H68" s="179">
        <f>E68-F68</f>
        <v>-70.57930999999985</v>
      </c>
    </row>
    <row r="69" spans="1:8" ht="15.75" thickBot="1">
      <c r="A69" s="318"/>
      <c r="B69" s="174" t="s">
        <v>117</v>
      </c>
      <c r="C69" s="103">
        <v>804.3956388095644</v>
      </c>
      <c r="D69" s="103"/>
      <c r="E69" s="88">
        <v>792.5062389999999</v>
      </c>
      <c r="F69" s="88">
        <v>803.28751</v>
      </c>
      <c r="G69" s="88"/>
      <c r="H69" s="232">
        <f>31.69178404+5.0086</f>
        <v>36.70038404</v>
      </c>
    </row>
    <row r="70" spans="1:8" ht="19.5" thickBot="1" thickTop="1">
      <c r="A70" s="165" t="s">
        <v>118</v>
      </c>
      <c r="B70" s="234" t="s">
        <v>119</v>
      </c>
      <c r="C70" s="114">
        <v>13229.053984000151</v>
      </c>
      <c r="D70" s="114"/>
      <c r="E70" s="112">
        <v>12299.624519</v>
      </c>
      <c r="F70" s="112">
        <v>12781.003509999999</v>
      </c>
      <c r="G70" s="112">
        <v>49.7325366</v>
      </c>
      <c r="H70" s="235">
        <f>H25+H64</f>
        <v>-481.3789909999996</v>
      </c>
    </row>
    <row r="71" spans="1:8" ht="19.5" thickBot="1" thickTop="1">
      <c r="A71" s="165" t="s">
        <v>120</v>
      </c>
      <c r="B71" s="234" t="s">
        <v>121</v>
      </c>
      <c r="C71" s="114">
        <v>678.20146</v>
      </c>
      <c r="D71" s="114"/>
      <c r="E71" s="112">
        <v>36.53791</v>
      </c>
      <c r="F71" s="112">
        <v>37.24562</v>
      </c>
      <c r="G71" s="112">
        <v>0</v>
      </c>
      <c r="H71" s="235">
        <f>E71-F71</f>
        <v>-0.7077100000000058</v>
      </c>
    </row>
    <row r="72" spans="1:8" ht="15.75" thickTop="1">
      <c r="A72" s="115"/>
      <c r="B72" s="116" t="s">
        <v>122</v>
      </c>
      <c r="C72" s="103">
        <v>51</v>
      </c>
      <c r="D72" s="103"/>
      <c r="E72" s="81">
        <v>36.53791</v>
      </c>
      <c r="F72" s="81">
        <v>37.24562</v>
      </c>
      <c r="G72" s="119"/>
      <c r="H72" s="179">
        <f>E72-F72</f>
        <v>-0.7077100000000058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>
        <f>E73-F73</f>
        <v>0</v>
      </c>
    </row>
    <row r="74" spans="1:8" ht="32.25" customHeight="1" thickBot="1">
      <c r="A74" s="120"/>
      <c r="B74" s="121" t="s">
        <v>124</v>
      </c>
      <c r="C74" s="236"/>
      <c r="D74" s="237"/>
      <c r="E74" s="319">
        <v>71.821</v>
      </c>
      <c r="F74" s="320" t="s">
        <v>110</v>
      </c>
      <c r="G74" s="321"/>
      <c r="H74" s="322"/>
    </row>
    <row r="75" spans="1:8" ht="33" customHeight="1" thickBot="1" thickTop="1">
      <c r="A75" s="109" t="s">
        <v>125</v>
      </c>
      <c r="B75" s="110" t="s">
        <v>126</v>
      </c>
      <c r="C75" s="114">
        <v>18.11885</v>
      </c>
      <c r="D75" s="114"/>
      <c r="E75" s="323">
        <v>18.11885</v>
      </c>
      <c r="F75" s="323">
        <v>18.11885</v>
      </c>
      <c r="G75" s="180"/>
      <c r="H75" s="234">
        <f>E75-F75</f>
        <v>0</v>
      </c>
    </row>
    <row r="76" spans="1:8" ht="23.2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2195.5132990000006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1001.5719999999999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1190.0990090000007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3.842289999999994</v>
      </c>
      <c r="H79" s="326"/>
    </row>
    <row r="80" spans="1:8" ht="14.25">
      <c r="A80" s="134"/>
      <c r="B80" s="2"/>
      <c r="C80" s="2"/>
      <c r="D80" s="2"/>
      <c r="E80" s="2"/>
      <c r="F80" s="2"/>
      <c r="G80" s="2"/>
      <c r="H80" s="2"/>
    </row>
    <row r="81" spans="1:8" ht="18">
      <c r="A81" s="134"/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1:8" ht="18">
      <c r="A82" s="134"/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61">
    <tabColor theme="6" tint="-0.24997000396251678"/>
  </sheetPr>
  <dimension ref="A1:H104"/>
  <sheetViews>
    <sheetView zoomScaleSheetLayoutView="70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5.7109375" style="2" customWidth="1"/>
    <col min="4" max="4" width="9.28125" style="2" customWidth="1"/>
    <col min="5" max="5" width="18.8515625" style="2" customWidth="1"/>
    <col min="6" max="6" width="23.8515625" style="2" customWidth="1"/>
    <col min="7" max="7" width="24.00390625" style="2" customWidth="1"/>
    <col min="8" max="8" width="24.574218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Советская</v>
      </c>
      <c r="E2" s="5"/>
      <c r="F2" s="5" t="s">
        <v>3</v>
      </c>
      <c r="G2" s="7">
        <f>D17</f>
        <v>4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171</v>
      </c>
      <c r="C17" s="31" t="s">
        <v>3</v>
      </c>
      <c r="D17" s="31">
        <v>4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1266.51</v>
      </c>
      <c r="F19" s="39" t="s">
        <v>20</v>
      </c>
    </row>
    <row r="20" spans="1:6" s="8" customFormat="1" ht="18">
      <c r="A20" s="35"/>
      <c r="B20" s="8" t="s">
        <v>21</v>
      </c>
      <c r="E20" s="146">
        <v>710.68</v>
      </c>
      <c r="F20" s="8" t="s">
        <v>20</v>
      </c>
    </row>
    <row r="21" spans="1:6" s="8" customFormat="1" ht="18">
      <c r="A21" s="41"/>
      <c r="B21" s="8" t="s">
        <v>22</v>
      </c>
      <c r="E21" s="146">
        <v>530.41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25.42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2375.8067908158664</v>
      </c>
      <c r="D25" s="57">
        <v>0</v>
      </c>
      <c r="E25" s="58">
        <v>1828.787</v>
      </c>
      <c r="F25" s="58">
        <v>2063.2</v>
      </c>
      <c r="G25" s="58">
        <v>0</v>
      </c>
      <c r="H25" s="59">
        <f>E25-F25</f>
        <v>-234.41299999999978</v>
      </c>
    </row>
    <row r="26" spans="1:8" s="30" customFormat="1" ht="18">
      <c r="A26" s="60" t="s">
        <v>36</v>
      </c>
      <c r="B26" s="61" t="s">
        <v>37</v>
      </c>
      <c r="C26" s="62">
        <v>947.58155</v>
      </c>
      <c r="D26" s="62"/>
      <c r="E26" s="63">
        <v>540.19</v>
      </c>
      <c r="F26" s="63">
        <v>609.27</v>
      </c>
      <c r="G26" s="63">
        <v>0</v>
      </c>
      <c r="H26" s="64">
        <f>E26-F26</f>
        <v>-69.07999999999993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1428.2252408158665</v>
      </c>
      <c r="D50" s="62">
        <v>0</v>
      </c>
      <c r="E50" s="63">
        <v>1288.597</v>
      </c>
      <c r="F50" s="63">
        <v>1453.93</v>
      </c>
      <c r="G50" s="63">
        <v>0</v>
      </c>
      <c r="H50" s="64">
        <f aca="true" t="shared" si="0" ref="H50:H62">E50-F50</f>
        <v>-165.33300000000008</v>
      </c>
    </row>
    <row r="51" spans="1:8" ht="15">
      <c r="A51" s="77" t="s">
        <v>84</v>
      </c>
      <c r="B51" s="78" t="s">
        <v>85</v>
      </c>
      <c r="C51" s="79">
        <v>398.91202554956</v>
      </c>
      <c r="D51" s="80"/>
      <c r="E51" s="73">
        <v>204.604</v>
      </c>
      <c r="F51" s="73">
        <v>230.87</v>
      </c>
      <c r="G51" s="81">
        <v>0</v>
      </c>
      <c r="H51" s="82">
        <f t="shared" si="0"/>
        <v>-26.26599999999999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42.46963766438136</v>
      </c>
      <c r="D53" s="80"/>
      <c r="E53" s="73">
        <v>41.553</v>
      </c>
      <c r="F53" s="73">
        <v>46.43</v>
      </c>
      <c r="G53" s="81">
        <v>0</v>
      </c>
      <c r="H53" s="82">
        <f t="shared" si="0"/>
        <v>-4.8770000000000024</v>
      </c>
    </row>
    <row r="54" spans="1:8" ht="15">
      <c r="A54" s="77" t="s">
        <v>90</v>
      </c>
      <c r="B54" s="78" t="s">
        <v>91</v>
      </c>
      <c r="C54" s="79">
        <v>178.82417084495543</v>
      </c>
      <c r="D54" s="80"/>
      <c r="E54" s="73">
        <v>171.181</v>
      </c>
      <c r="F54" s="73">
        <v>191.67</v>
      </c>
      <c r="G54" s="81">
        <v>0</v>
      </c>
      <c r="H54" s="82">
        <f t="shared" si="0"/>
        <v>-20.488999999999976</v>
      </c>
    </row>
    <row r="55" spans="1:8" ht="31.5" customHeight="1">
      <c r="A55" s="77" t="s">
        <v>92</v>
      </c>
      <c r="B55" s="78" t="s">
        <v>93</v>
      </c>
      <c r="C55" s="79">
        <v>359.7683235959105</v>
      </c>
      <c r="D55" s="80"/>
      <c r="E55" s="73">
        <v>450.761</v>
      </c>
      <c r="F55" s="73">
        <v>508.58</v>
      </c>
      <c r="G55" s="81">
        <v>0</v>
      </c>
      <c r="H55" s="82">
        <f t="shared" si="0"/>
        <v>-57.81899999999996</v>
      </c>
    </row>
    <row r="56" spans="1:8" ht="15">
      <c r="A56" s="77" t="s">
        <v>94</v>
      </c>
      <c r="B56" s="78" t="s">
        <v>95</v>
      </c>
      <c r="C56" s="79">
        <v>272.09359496301226</v>
      </c>
      <c r="D56" s="80"/>
      <c r="E56" s="73">
        <v>246.157</v>
      </c>
      <c r="F56" s="73">
        <v>281.21</v>
      </c>
      <c r="G56" s="81">
        <v>0</v>
      </c>
      <c r="H56" s="82">
        <f t="shared" si="0"/>
        <v>-35.05299999999997</v>
      </c>
    </row>
    <row r="57" spans="1:8" ht="15">
      <c r="A57" s="77" t="s">
        <v>96</v>
      </c>
      <c r="B57" s="78" t="s">
        <v>97</v>
      </c>
      <c r="C57" s="79">
        <v>6.917713407360418</v>
      </c>
      <c r="D57" s="80"/>
      <c r="E57" s="73">
        <v>9.936</v>
      </c>
      <c r="F57" s="73">
        <v>11.14</v>
      </c>
      <c r="G57" s="81">
        <v>0</v>
      </c>
      <c r="H57" s="82">
        <f t="shared" si="0"/>
        <v>-1.2040000000000006</v>
      </c>
    </row>
    <row r="58" spans="1:8" s="30" customFormat="1" ht="15.75">
      <c r="A58" s="77" t="s">
        <v>98</v>
      </c>
      <c r="B58" s="78" t="s">
        <v>99</v>
      </c>
      <c r="C58" s="79">
        <v>167.56173735289428</v>
      </c>
      <c r="D58" s="80"/>
      <c r="E58" s="73">
        <v>162.599</v>
      </c>
      <c r="F58" s="73">
        <v>181.97</v>
      </c>
      <c r="G58" s="81">
        <v>0</v>
      </c>
      <c r="H58" s="82">
        <f t="shared" si="0"/>
        <v>-19.37100000000001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1.6780374377921317</v>
      </c>
      <c r="D61" s="80"/>
      <c r="E61" s="73">
        <v>1.806</v>
      </c>
      <c r="F61" s="73">
        <v>2.06</v>
      </c>
      <c r="G61" s="81">
        <v>0</v>
      </c>
      <c r="H61" s="82">
        <f t="shared" si="0"/>
        <v>-0.254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-338.31155</v>
      </c>
      <c r="D63" s="93"/>
      <c r="E63" s="94" t="s">
        <v>110</v>
      </c>
      <c r="F63" s="94"/>
      <c r="G63" s="94"/>
      <c r="H63" s="95"/>
    </row>
    <row r="64" spans="1:8" s="8" customFormat="1" ht="18.75" thickTop="1">
      <c r="A64" s="96" t="s">
        <v>111</v>
      </c>
      <c r="B64" s="97" t="s">
        <v>112</v>
      </c>
      <c r="C64" s="98">
        <v>2512.2501983863876</v>
      </c>
      <c r="D64" s="98"/>
      <c r="E64" s="99">
        <v>2337.65687</v>
      </c>
      <c r="F64" s="99">
        <v>2519.30328</v>
      </c>
      <c r="G64" s="99">
        <v>0</v>
      </c>
      <c r="H64" s="100">
        <f>E64-F64</f>
        <v>-181.6464100000003</v>
      </c>
    </row>
    <row r="65" spans="1:8" ht="15">
      <c r="A65" s="101"/>
      <c r="B65" s="102" t="s">
        <v>113</v>
      </c>
      <c r="C65" s="103">
        <v>1509.476538013764</v>
      </c>
      <c r="D65" s="103"/>
      <c r="E65" s="73">
        <v>1396.59028</v>
      </c>
      <c r="F65" s="73">
        <v>1553.492</v>
      </c>
      <c r="G65" s="81">
        <v>0</v>
      </c>
      <c r="H65" s="104">
        <f>E65-F65</f>
        <v>-156.90172000000007</v>
      </c>
    </row>
    <row r="66" spans="1:8" ht="15">
      <c r="A66" s="101"/>
      <c r="B66" s="102" t="s">
        <v>114</v>
      </c>
      <c r="C66" s="103">
        <v>258.4357744317324</v>
      </c>
      <c r="D66" s="103"/>
      <c r="E66" s="73">
        <v>242.53257</v>
      </c>
      <c r="F66" s="73">
        <v>254.688</v>
      </c>
      <c r="G66" s="81"/>
      <c r="H66" s="104">
        <f>E66-F66</f>
        <v>-12.155429999999996</v>
      </c>
    </row>
    <row r="67" spans="1:8" ht="15">
      <c r="A67" s="101"/>
      <c r="B67" s="102" t="s">
        <v>115</v>
      </c>
      <c r="C67" s="103">
        <v>221.81969298836506</v>
      </c>
      <c r="D67" s="103"/>
      <c r="E67" s="73">
        <v>208.16971</v>
      </c>
      <c r="F67" s="73">
        <v>219.734</v>
      </c>
      <c r="G67" s="81"/>
      <c r="H67" s="104">
        <f>E67-F67</f>
        <v>-11.56429</v>
      </c>
    </row>
    <row r="68" spans="1:8" ht="15">
      <c r="A68" s="101"/>
      <c r="B68" s="102" t="s">
        <v>116</v>
      </c>
      <c r="C68" s="103">
        <v>299.8280453288291</v>
      </c>
      <c r="D68" s="103"/>
      <c r="E68" s="73">
        <v>281.37771</v>
      </c>
      <c r="F68" s="73">
        <v>297.117</v>
      </c>
      <c r="G68" s="81"/>
      <c r="H68" s="104">
        <f>E68-F68</f>
        <v>-15.73929000000004</v>
      </c>
    </row>
    <row r="69" spans="1:8" ht="15.75" thickBot="1">
      <c r="A69" s="105"/>
      <c r="B69" s="106" t="s">
        <v>117</v>
      </c>
      <c r="C69" s="107">
        <v>222.69014762369727</v>
      </c>
      <c r="D69" s="107"/>
      <c r="E69" s="87">
        <v>208.9866</v>
      </c>
      <c r="F69" s="87">
        <v>194.27228</v>
      </c>
      <c r="G69" s="88"/>
      <c r="H69" s="108">
        <f>(-2676.65+25804.06)/1000</f>
        <v>23.12741</v>
      </c>
    </row>
    <row r="70" spans="1:8" ht="19.5" thickBot="1" thickTop="1">
      <c r="A70" s="109" t="s">
        <v>118</v>
      </c>
      <c r="B70" s="110" t="s">
        <v>119</v>
      </c>
      <c r="C70" s="111">
        <v>4888.056989202254</v>
      </c>
      <c r="D70" s="111"/>
      <c r="E70" s="112">
        <v>4166.44387</v>
      </c>
      <c r="F70" s="112">
        <v>4582.50328</v>
      </c>
      <c r="G70" s="112">
        <v>0</v>
      </c>
      <c r="H70" s="113">
        <f>H25+H64</f>
        <v>-416.05941000000007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141.96871000000002</v>
      </c>
      <c r="F71" s="112">
        <v>142.62431999999998</v>
      </c>
      <c r="G71" s="112">
        <v>0</v>
      </c>
      <c r="H71" s="113">
        <f>E71-F71</f>
        <v>-0.6556099999999674</v>
      </c>
    </row>
    <row r="72" spans="1:8" ht="15.75" thickTop="1">
      <c r="A72" s="115"/>
      <c r="B72" s="116" t="s">
        <v>122</v>
      </c>
      <c r="C72" s="103"/>
      <c r="D72" s="103"/>
      <c r="E72" s="81">
        <v>115.49796</v>
      </c>
      <c r="F72" s="81">
        <v>116.67342</v>
      </c>
      <c r="G72" s="117"/>
      <c r="H72" s="104">
        <f>E72-F72</f>
        <v>-1.1754599999999868</v>
      </c>
    </row>
    <row r="73" spans="1:8" ht="15">
      <c r="A73" s="115"/>
      <c r="B73" s="116" t="s">
        <v>123</v>
      </c>
      <c r="C73" s="103"/>
      <c r="D73" s="103"/>
      <c r="E73" s="81">
        <v>26.47075</v>
      </c>
      <c r="F73" s="81">
        <v>25.9509</v>
      </c>
      <c r="G73" s="119"/>
      <c r="H73" s="104">
        <f>E73-F73</f>
        <v>0.5198499999999981</v>
      </c>
    </row>
    <row r="74" spans="1:8" ht="29.25" thickBot="1">
      <c r="A74" s="120"/>
      <c r="B74" s="121" t="s">
        <v>124</v>
      </c>
      <c r="C74" s="122"/>
      <c r="D74" s="123"/>
      <c r="E74" s="124">
        <v>506.308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462.65134</v>
      </c>
      <c r="D75" s="114"/>
      <c r="E75" s="112">
        <v>462.65134</v>
      </c>
      <c r="F75" s="112">
        <v>439.89594</v>
      </c>
      <c r="G75" s="112"/>
      <c r="H75" s="113">
        <f>E75-F75</f>
        <v>22.75540000000001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849.2751299999999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476.26700000000017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348.7635899999997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24.244540000000015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theme="5" tint="0.5999900102615356"/>
  </sheetPr>
  <dimension ref="A1:H104"/>
  <sheetViews>
    <sheetView zoomScaleSheetLayoutView="80" zoomScalePageLayoutView="0" workbookViewId="0" topLeftCell="A1">
      <selection activeCell="E71" sqref="E71"/>
    </sheetView>
  </sheetViews>
  <sheetFormatPr defaultColWidth="9.140625" defaultRowHeight="15"/>
  <cols>
    <col min="1" max="1" width="8.57421875" style="187" customWidth="1"/>
    <col min="2" max="2" width="56.57421875" style="140" customWidth="1"/>
    <col min="3" max="3" width="15.00390625" style="140" customWidth="1"/>
    <col min="4" max="4" width="8.140625" style="140" customWidth="1"/>
    <col min="5" max="5" width="17.8515625" style="140" customWidth="1"/>
    <col min="6" max="6" width="27.421875" style="140" customWidth="1"/>
    <col min="7" max="7" width="22.57421875" style="140" customWidth="1"/>
    <col min="8" max="8" width="21.71093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3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3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6674.040000000001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3729.15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2792.04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152.85</v>
      </c>
      <c r="F22" s="8" t="s">
        <v>20</v>
      </c>
      <c r="G22" s="30"/>
    </row>
    <row r="23" spans="1:8" s="149" customFormat="1" ht="84.7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16067.4061910143</v>
      </c>
      <c r="D25" s="57">
        <v>0</v>
      </c>
      <c r="E25" s="58">
        <v>15149.143649999998</v>
      </c>
      <c r="F25" s="58">
        <v>14259.724</v>
      </c>
      <c r="G25" s="157">
        <v>78.61674900000001</v>
      </c>
      <c r="H25" s="59">
        <f>E25-F25</f>
        <v>889.419649999998</v>
      </c>
    </row>
    <row r="26" spans="1:8" s="143" customFormat="1" ht="18">
      <c r="A26" s="60" t="s">
        <v>36</v>
      </c>
      <c r="B26" s="61" t="s">
        <v>37</v>
      </c>
      <c r="C26" s="62">
        <v>4260.79737</v>
      </c>
      <c r="D26" s="62"/>
      <c r="E26" s="63">
        <v>2532.075</v>
      </c>
      <c r="F26" s="63">
        <v>2381.974</v>
      </c>
      <c r="G26" s="63">
        <v>13.645431000000002</v>
      </c>
      <c r="H26" s="64">
        <f>E26-F26</f>
        <v>150.10099999999966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11806.608821014299</v>
      </c>
      <c r="D50" s="62">
        <v>0</v>
      </c>
      <c r="E50" s="63">
        <v>12617.06865</v>
      </c>
      <c r="F50" s="63">
        <v>11877.75</v>
      </c>
      <c r="G50" s="63">
        <v>64.971318</v>
      </c>
      <c r="H50" s="64">
        <f aca="true" t="shared" si="0" ref="H50:H62">E50-F50</f>
        <v>739.3186499999993</v>
      </c>
    </row>
    <row r="51" spans="1:8" ht="15">
      <c r="A51" s="77" t="s">
        <v>84</v>
      </c>
      <c r="B51" s="78" t="s">
        <v>85</v>
      </c>
      <c r="C51" s="79">
        <v>1606.6423394178148</v>
      </c>
      <c r="D51" s="80"/>
      <c r="E51" s="73">
        <v>824.055</v>
      </c>
      <c r="F51" s="73">
        <v>775.78</v>
      </c>
      <c r="G51" s="81">
        <v>4.378818000000001</v>
      </c>
      <c r="H51" s="82">
        <f t="shared" si="0"/>
        <v>48.27499999999998</v>
      </c>
    </row>
    <row r="52" spans="1:8" s="158" customFormat="1" ht="15">
      <c r="A52" s="77" t="s">
        <v>86</v>
      </c>
      <c r="B52" s="78" t="s">
        <v>87</v>
      </c>
      <c r="C52" s="79">
        <v>1766.9488514893112</v>
      </c>
      <c r="D52" s="80"/>
      <c r="E52" s="73">
        <v>2247.16065</v>
      </c>
      <c r="F52" s="73">
        <v>2114.87</v>
      </c>
      <c r="G52" s="81">
        <v>12.425502000000002</v>
      </c>
      <c r="H52" s="82">
        <f t="shared" si="0"/>
        <v>132.2906499999999</v>
      </c>
    </row>
    <row r="53" spans="1:8" s="159" customFormat="1" ht="16.5">
      <c r="A53" s="77" t="s">
        <v>88</v>
      </c>
      <c r="B53" s="78" t="s">
        <v>89</v>
      </c>
      <c r="C53" s="79">
        <v>352.42348447811196</v>
      </c>
      <c r="D53" s="80"/>
      <c r="E53" s="73">
        <v>344.817</v>
      </c>
      <c r="F53" s="73">
        <v>325.14</v>
      </c>
      <c r="G53" s="81">
        <v>1.8500910000000002</v>
      </c>
      <c r="H53" s="82">
        <f t="shared" si="0"/>
        <v>19.67700000000002</v>
      </c>
    </row>
    <row r="54" spans="1:8" s="160" customFormat="1" ht="15">
      <c r="A54" s="77" t="s">
        <v>90</v>
      </c>
      <c r="B54" s="78" t="s">
        <v>91</v>
      </c>
      <c r="C54" s="79">
        <v>1156.9578388031084</v>
      </c>
      <c r="D54" s="80"/>
      <c r="E54" s="73">
        <v>1107.508</v>
      </c>
      <c r="F54" s="73">
        <v>1042.46</v>
      </c>
      <c r="G54" s="81">
        <v>5.784564000000001</v>
      </c>
      <c r="H54" s="82">
        <f t="shared" si="0"/>
        <v>65.048</v>
      </c>
    </row>
    <row r="55" spans="1:8" ht="33" customHeight="1">
      <c r="A55" s="77" t="s">
        <v>92</v>
      </c>
      <c r="B55" s="78" t="s">
        <v>93</v>
      </c>
      <c r="C55" s="79">
        <v>4389.38649040226</v>
      </c>
      <c r="D55" s="80"/>
      <c r="E55" s="73">
        <v>5499.551</v>
      </c>
      <c r="F55" s="73">
        <v>5176.64</v>
      </c>
      <c r="G55" s="81">
        <v>29.173269</v>
      </c>
      <c r="H55" s="82">
        <f t="shared" si="0"/>
        <v>322.91100000000006</v>
      </c>
    </row>
    <row r="56" spans="1:8" ht="15">
      <c r="A56" s="77" t="s">
        <v>94</v>
      </c>
      <c r="B56" s="78" t="s">
        <v>95</v>
      </c>
      <c r="C56" s="79">
        <v>1292.032550872821</v>
      </c>
      <c r="D56" s="80"/>
      <c r="E56" s="73">
        <v>1168.873</v>
      </c>
      <c r="F56" s="73">
        <v>1100.93</v>
      </c>
      <c r="G56" s="81">
        <v>6.5197530000000015</v>
      </c>
      <c r="H56" s="82">
        <f t="shared" si="0"/>
        <v>67.94299999999998</v>
      </c>
    </row>
    <row r="57" spans="1:8" ht="17.25" customHeight="1">
      <c r="A57" s="77" t="s">
        <v>96</v>
      </c>
      <c r="B57" s="78" t="s">
        <v>97</v>
      </c>
      <c r="C57" s="79">
        <v>126.13896201474677</v>
      </c>
      <c r="D57" s="80"/>
      <c r="E57" s="73">
        <v>181.175</v>
      </c>
      <c r="F57" s="73">
        <v>169.7</v>
      </c>
      <c r="G57" s="81">
        <v>0.9856380000000001</v>
      </c>
      <c r="H57" s="82">
        <f t="shared" si="0"/>
        <v>11.475000000000023</v>
      </c>
    </row>
    <row r="58" spans="1:8" ht="15">
      <c r="A58" s="77" t="s">
        <v>98</v>
      </c>
      <c r="B58" s="78" t="s">
        <v>99</v>
      </c>
      <c r="C58" s="79">
        <v>734.7740728630672</v>
      </c>
      <c r="D58" s="80"/>
      <c r="E58" s="73">
        <v>713.012</v>
      </c>
      <c r="F58" s="73">
        <v>671.68</v>
      </c>
      <c r="G58" s="81">
        <v>3.79713</v>
      </c>
      <c r="H58" s="82">
        <f t="shared" si="0"/>
        <v>41.331999999999994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10.859856906375656</v>
      </c>
      <c r="D61" s="80"/>
      <c r="E61" s="73">
        <v>11.688</v>
      </c>
      <c r="F61" s="73">
        <v>11.41</v>
      </c>
      <c r="G61" s="81">
        <v>0.05655300000000001</v>
      </c>
      <c r="H61" s="82">
        <f t="shared" si="0"/>
        <v>0.27800000000000047</v>
      </c>
    </row>
    <row r="62" spans="1:8" s="143" customFormat="1" ht="15.75" thickBot="1">
      <c r="A62" s="83" t="s">
        <v>106</v>
      </c>
      <c r="B62" s="84" t="s">
        <v>107</v>
      </c>
      <c r="C62" s="85">
        <v>370.444373766683</v>
      </c>
      <c r="D62" s="86"/>
      <c r="E62" s="87">
        <v>519.229</v>
      </c>
      <c r="F62" s="87">
        <v>489.14</v>
      </c>
      <c r="G62" s="88">
        <v>0</v>
      </c>
      <c r="H62" s="89">
        <f t="shared" si="0"/>
        <v>30.089000000000055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-1865.1779390000002</v>
      </c>
      <c r="D63" s="93"/>
      <c r="E63" s="94" t="s">
        <v>110</v>
      </c>
      <c r="F63" s="94"/>
      <c r="G63" s="163">
        <v>6.738104305256493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17069.65751713148</v>
      </c>
      <c r="D64" s="111"/>
      <c r="E64" s="167">
        <v>16330.71249</v>
      </c>
      <c r="F64" s="167">
        <v>16081.57396</v>
      </c>
      <c r="G64" s="167">
        <v>49.653534</v>
      </c>
      <c r="H64" s="168">
        <f>E64-F64</f>
        <v>249.13853000000017</v>
      </c>
    </row>
    <row r="65" spans="1:8" ht="15.75" thickTop="1">
      <c r="A65" s="169"/>
      <c r="B65" s="170" t="s">
        <v>113</v>
      </c>
      <c r="C65" s="171">
        <v>9434.983856348794</v>
      </c>
      <c r="D65" s="171"/>
      <c r="E65" s="172">
        <v>9165.84908</v>
      </c>
      <c r="F65" s="172">
        <v>9929.83</v>
      </c>
      <c r="G65" s="163">
        <v>49.653534</v>
      </c>
      <c r="H65" s="173">
        <f>E65-F65</f>
        <v>-763.98092</v>
      </c>
    </row>
    <row r="66" spans="1:8" ht="15">
      <c r="A66" s="101"/>
      <c r="B66" s="116" t="s">
        <v>114</v>
      </c>
      <c r="C66" s="103">
        <v>1941.6292643412796</v>
      </c>
      <c r="D66" s="103"/>
      <c r="E66" s="73">
        <v>1822.14841</v>
      </c>
      <c r="F66" s="73">
        <v>1644.11</v>
      </c>
      <c r="G66" s="81"/>
      <c r="H66" s="104">
        <f>E66-F66</f>
        <v>178.0384100000001</v>
      </c>
    </row>
    <row r="67" spans="1:8" ht="15">
      <c r="A67" s="101"/>
      <c r="B67" s="116" t="s">
        <v>115</v>
      </c>
      <c r="C67" s="103">
        <v>1686.3011969818672</v>
      </c>
      <c r="D67" s="103"/>
      <c r="E67" s="73">
        <v>1582.53231</v>
      </c>
      <c r="F67" s="73">
        <v>1458.91</v>
      </c>
      <c r="G67" s="81"/>
      <c r="H67" s="104">
        <f>E67-F67</f>
        <v>123.62230999999997</v>
      </c>
    </row>
    <row r="68" spans="1:8" ht="15">
      <c r="A68" s="101"/>
      <c r="B68" s="116" t="s">
        <v>116</v>
      </c>
      <c r="C68" s="103">
        <v>2266.66412614226</v>
      </c>
      <c r="D68" s="103"/>
      <c r="E68" s="73">
        <v>2127.1818</v>
      </c>
      <c r="F68" s="73">
        <v>1925.83</v>
      </c>
      <c r="G68" s="81"/>
      <c r="H68" s="104">
        <f>E68-F68</f>
        <v>201.3517999999999</v>
      </c>
    </row>
    <row r="69" spans="1:8" ht="15.75" thickBot="1">
      <c r="A69" s="105"/>
      <c r="B69" s="174" t="s">
        <v>117</v>
      </c>
      <c r="C69" s="107">
        <v>1740.0790733172798</v>
      </c>
      <c r="D69" s="107"/>
      <c r="E69" s="87">
        <v>1633.00089</v>
      </c>
      <c r="F69" s="87">
        <v>1122.8939599999999</v>
      </c>
      <c r="G69" s="88"/>
      <c r="H69" s="108">
        <f>247.57862+102.3711248</f>
        <v>349.9497448</v>
      </c>
    </row>
    <row r="70" spans="1:8" ht="20.25" customHeight="1" thickBot="1" thickTop="1">
      <c r="A70" s="175" t="s">
        <v>118</v>
      </c>
      <c r="B70" s="166" t="s">
        <v>119</v>
      </c>
      <c r="C70" s="111">
        <v>33137.06370814578</v>
      </c>
      <c r="D70" s="111"/>
      <c r="E70" s="166">
        <v>31479.856139999996</v>
      </c>
      <c r="F70" s="166">
        <v>30341.29796</v>
      </c>
      <c r="G70" s="166">
        <v>128.270283</v>
      </c>
      <c r="H70" s="168">
        <f>H25+H64</f>
        <v>1138.5581799999982</v>
      </c>
    </row>
    <row r="71" spans="1:8" ht="19.5" thickBot="1" thickTop="1">
      <c r="A71" s="165" t="s">
        <v>120</v>
      </c>
      <c r="B71" s="166" t="s">
        <v>121</v>
      </c>
      <c r="C71" s="111">
        <v>10366.41564</v>
      </c>
      <c r="D71" s="111"/>
      <c r="E71" s="166">
        <v>779.04998</v>
      </c>
      <c r="F71" s="166">
        <v>793.39874</v>
      </c>
      <c r="G71" s="166">
        <v>0</v>
      </c>
      <c r="H71" s="168">
        <f>E71-F71</f>
        <v>-14.34875999999997</v>
      </c>
    </row>
    <row r="72" spans="1:8" ht="15.75" thickTop="1">
      <c r="A72" s="176"/>
      <c r="B72" s="170" t="s">
        <v>122</v>
      </c>
      <c r="C72" s="177"/>
      <c r="D72" s="177"/>
      <c r="E72" s="117">
        <v>779.04998</v>
      </c>
      <c r="F72" s="117">
        <v>793.39874</v>
      </c>
      <c r="G72" s="117"/>
      <c r="H72" s="104">
        <f>E72-F72</f>
        <v>-14.34875999999997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3108.379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19.07041</v>
      </c>
      <c r="D75" s="114"/>
      <c r="E75" s="180">
        <v>19.07041</v>
      </c>
      <c r="F75" s="180">
        <v>19.07041</v>
      </c>
      <c r="G75" s="180"/>
      <c r="H75" s="168">
        <f>E75-F75</f>
        <v>0</v>
      </c>
    </row>
    <row r="76" spans="1:8" ht="19.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7798.249419999997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4618.569649999998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3041.17853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138.50124000000002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2">
    <tabColor rgb="FF00B0F0"/>
  </sheetPr>
  <dimension ref="A1:H104"/>
  <sheetViews>
    <sheetView zoomScaleSheetLayoutView="90" zoomScalePageLayoutView="0" workbookViewId="0" topLeftCell="A1">
      <selection activeCell="F25" sqref="F2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28125" style="2" customWidth="1"/>
    <col min="4" max="4" width="8.8515625" style="2" customWidth="1"/>
    <col min="5" max="5" width="18.8515625" style="2" customWidth="1"/>
    <col min="6" max="7" width="23.8515625" style="2" customWidth="1"/>
    <col min="8" max="8" width="23.14062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Советская</v>
      </c>
      <c r="E2" s="5"/>
      <c r="F2" s="5" t="s">
        <v>3</v>
      </c>
      <c r="G2" s="7">
        <f>D17</f>
        <v>6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171</v>
      </c>
      <c r="C17" s="31" t="s">
        <v>3</v>
      </c>
      <c r="D17" s="31">
        <v>6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1974.01</v>
      </c>
      <c r="F19" s="39" t="s">
        <v>20</v>
      </c>
    </row>
    <row r="20" spans="1:6" s="8" customFormat="1" ht="18">
      <c r="A20" s="35"/>
      <c r="B20" s="8" t="s">
        <v>21</v>
      </c>
      <c r="E20" s="146">
        <v>1041.94</v>
      </c>
      <c r="F20" s="8" t="s">
        <v>20</v>
      </c>
    </row>
    <row r="21" spans="1:6" s="8" customFormat="1" ht="18">
      <c r="A21" s="41"/>
      <c r="B21" s="8" t="s">
        <v>22</v>
      </c>
      <c r="E21" s="146">
        <v>889.75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42.32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0" customFormat="1" ht="21.75" customHeight="1">
      <c r="A25" s="55" t="s">
        <v>34</v>
      </c>
      <c r="B25" s="56" t="s">
        <v>35</v>
      </c>
      <c r="C25" s="57">
        <v>1469.1050510636098</v>
      </c>
      <c r="D25" s="57">
        <v>0</v>
      </c>
      <c r="E25" s="58">
        <v>1165.791</v>
      </c>
      <c r="F25" s="58">
        <v>1132.38</v>
      </c>
      <c r="G25" s="58">
        <v>0</v>
      </c>
      <c r="H25" s="59">
        <f>E25-F25</f>
        <v>33.41099999999983</v>
      </c>
    </row>
    <row r="26" spans="1:8" s="30" customFormat="1" ht="18">
      <c r="A26" s="60" t="s">
        <v>36</v>
      </c>
      <c r="B26" s="61" t="s">
        <v>37</v>
      </c>
      <c r="C26" s="62">
        <v>558.66584</v>
      </c>
      <c r="D26" s="62"/>
      <c r="E26" s="63">
        <v>344.359</v>
      </c>
      <c r="F26" s="63">
        <v>334.39</v>
      </c>
      <c r="G26" s="63">
        <v>0</v>
      </c>
      <c r="H26" s="64">
        <f>E26-F26</f>
        <v>9.968999999999994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910.4392110636098</v>
      </c>
      <c r="D50" s="62">
        <v>0</v>
      </c>
      <c r="E50" s="63">
        <v>821.4319999999999</v>
      </c>
      <c r="F50" s="63">
        <v>797.99</v>
      </c>
      <c r="G50" s="63">
        <v>0</v>
      </c>
      <c r="H50" s="64">
        <f aca="true" t="shared" si="0" ref="H50:H62">E50-F50</f>
        <v>23.441999999999894</v>
      </c>
    </row>
    <row r="51" spans="1:8" ht="15">
      <c r="A51" s="77" t="s">
        <v>84</v>
      </c>
      <c r="B51" s="78" t="s">
        <v>85</v>
      </c>
      <c r="C51" s="79">
        <v>254.29072137569378</v>
      </c>
      <c r="D51" s="80"/>
      <c r="E51" s="73">
        <v>130.427</v>
      </c>
      <c r="F51" s="73">
        <v>126.72</v>
      </c>
      <c r="G51" s="81">
        <v>0</v>
      </c>
      <c r="H51" s="82">
        <f t="shared" si="0"/>
        <v>3.7069999999999936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27.07231156484811</v>
      </c>
      <c r="D53" s="80"/>
      <c r="E53" s="73">
        <v>26.488</v>
      </c>
      <c r="F53" s="73">
        <v>25.48</v>
      </c>
      <c r="G53" s="81">
        <v>0</v>
      </c>
      <c r="H53" s="82">
        <f t="shared" si="0"/>
        <v>1.0079999999999991</v>
      </c>
    </row>
    <row r="54" spans="1:8" ht="15">
      <c r="A54" s="77" t="s">
        <v>90</v>
      </c>
      <c r="B54" s="78" t="s">
        <v>91</v>
      </c>
      <c r="C54" s="79">
        <v>113.99321388923057</v>
      </c>
      <c r="D54" s="80"/>
      <c r="E54" s="73">
        <v>109.121</v>
      </c>
      <c r="F54" s="73">
        <v>105.2</v>
      </c>
      <c r="G54" s="81">
        <v>0</v>
      </c>
      <c r="H54" s="82">
        <f t="shared" si="0"/>
        <v>3.9209999999999923</v>
      </c>
    </row>
    <row r="55" spans="1:8" ht="31.5" customHeight="1">
      <c r="A55" s="77" t="s">
        <v>92</v>
      </c>
      <c r="B55" s="78" t="s">
        <v>93</v>
      </c>
      <c r="C55" s="79">
        <v>229.33942638192588</v>
      </c>
      <c r="D55" s="80"/>
      <c r="E55" s="73">
        <v>287.344</v>
      </c>
      <c r="F55" s="73">
        <v>279.13</v>
      </c>
      <c r="G55" s="81">
        <v>0</v>
      </c>
      <c r="H55" s="82">
        <f t="shared" si="0"/>
        <v>8.213999999999999</v>
      </c>
    </row>
    <row r="56" spans="1:8" ht="15">
      <c r="A56" s="77" t="s">
        <v>94</v>
      </c>
      <c r="B56" s="78" t="s">
        <v>95</v>
      </c>
      <c r="C56" s="79">
        <v>173.44962177478612</v>
      </c>
      <c r="D56" s="80"/>
      <c r="E56" s="73">
        <v>156.916</v>
      </c>
      <c r="F56" s="73">
        <v>154.34</v>
      </c>
      <c r="G56" s="81">
        <v>0</v>
      </c>
      <c r="H56" s="82">
        <f t="shared" si="0"/>
        <v>2.5759999999999934</v>
      </c>
    </row>
    <row r="57" spans="1:8" ht="15">
      <c r="A57" s="77" t="s">
        <v>96</v>
      </c>
      <c r="B57" s="78" t="s">
        <v>97</v>
      </c>
      <c r="C57" s="79">
        <v>4.40990305175331</v>
      </c>
      <c r="D57" s="80"/>
      <c r="E57" s="73">
        <v>6.334</v>
      </c>
      <c r="F57" s="73">
        <v>6.11</v>
      </c>
      <c r="G57" s="81">
        <v>0</v>
      </c>
      <c r="H57" s="82">
        <f t="shared" si="0"/>
        <v>0.2239999999999993</v>
      </c>
    </row>
    <row r="58" spans="1:8" s="30" customFormat="1" ht="15.75">
      <c r="A58" s="77" t="s">
        <v>98</v>
      </c>
      <c r="B58" s="78" t="s">
        <v>99</v>
      </c>
      <c r="C58" s="79">
        <v>106.81456613118682</v>
      </c>
      <c r="D58" s="80"/>
      <c r="E58" s="73">
        <v>103.651</v>
      </c>
      <c r="F58" s="73">
        <v>99.88</v>
      </c>
      <c r="G58" s="81">
        <v>0</v>
      </c>
      <c r="H58" s="82">
        <f t="shared" si="0"/>
        <v>3.771000000000001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1.0694468941853508</v>
      </c>
      <c r="D61" s="80"/>
      <c r="E61" s="73">
        <v>1.151</v>
      </c>
      <c r="F61" s="73">
        <v>1.13</v>
      </c>
      <c r="G61" s="81">
        <v>0</v>
      </c>
      <c r="H61" s="82">
        <f t="shared" si="0"/>
        <v>0.02100000000000013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-224.27584000000002</v>
      </c>
      <c r="D63" s="93"/>
      <c r="E63" s="94" t="s">
        <v>110</v>
      </c>
      <c r="F63" s="94"/>
      <c r="G63" s="94"/>
      <c r="H63" s="95"/>
    </row>
    <row r="64" spans="1:8" ht="18.75" thickTop="1">
      <c r="A64" s="96" t="s">
        <v>111</v>
      </c>
      <c r="B64" s="97" t="s">
        <v>112</v>
      </c>
      <c r="C64" s="98">
        <v>1738.9823856622347</v>
      </c>
      <c r="D64" s="98"/>
      <c r="E64" s="99">
        <v>1621.6300300000003</v>
      </c>
      <c r="F64" s="99">
        <v>1541.89609</v>
      </c>
      <c r="G64" s="99">
        <v>0</v>
      </c>
      <c r="H64" s="100">
        <f>E64-F64</f>
        <v>79.7339400000003</v>
      </c>
    </row>
    <row r="65" spans="1:8" ht="15">
      <c r="A65" s="101"/>
      <c r="B65" s="102" t="s">
        <v>113</v>
      </c>
      <c r="C65" s="103">
        <v>958.343838073303</v>
      </c>
      <c r="D65" s="103"/>
      <c r="E65" s="73">
        <v>889.02916</v>
      </c>
      <c r="F65" s="73">
        <v>844.092</v>
      </c>
      <c r="G65" s="81">
        <v>0</v>
      </c>
      <c r="H65" s="104">
        <f>E65-F65</f>
        <v>44.93716000000006</v>
      </c>
    </row>
    <row r="66" spans="1:8" ht="15">
      <c r="A66" s="101"/>
      <c r="B66" s="102" t="s">
        <v>114</v>
      </c>
      <c r="C66" s="103">
        <v>191.56454012242637</v>
      </c>
      <c r="D66" s="103"/>
      <c r="E66" s="73">
        <v>179.77635</v>
      </c>
      <c r="F66" s="73">
        <v>176.992</v>
      </c>
      <c r="G66" s="81"/>
      <c r="H66" s="104">
        <f>E66-F66</f>
        <v>2.7843500000000176</v>
      </c>
    </row>
    <row r="67" spans="1:8" ht="15">
      <c r="A67" s="101"/>
      <c r="B67" s="102" t="s">
        <v>115</v>
      </c>
      <c r="C67" s="103">
        <v>173.2326732238449</v>
      </c>
      <c r="D67" s="103"/>
      <c r="E67" s="73">
        <v>162.57256</v>
      </c>
      <c r="F67" s="73">
        <v>158.94</v>
      </c>
      <c r="G67" s="81"/>
      <c r="H67" s="104">
        <f>E67-F67</f>
        <v>3.6325600000000122</v>
      </c>
    </row>
    <row r="68" spans="1:8" ht="15">
      <c r="A68" s="101"/>
      <c r="B68" s="102" t="s">
        <v>116</v>
      </c>
      <c r="C68" s="103">
        <v>229.88132682687174</v>
      </c>
      <c r="D68" s="103"/>
      <c r="E68" s="73">
        <v>215.73526</v>
      </c>
      <c r="F68" s="73">
        <v>210.91</v>
      </c>
      <c r="G68" s="81"/>
      <c r="H68" s="104">
        <f>E68-F68</f>
        <v>4.825260000000014</v>
      </c>
    </row>
    <row r="69" spans="1:8" ht="15.75" thickBot="1">
      <c r="A69" s="105"/>
      <c r="B69" s="106" t="s">
        <v>117</v>
      </c>
      <c r="C69" s="107">
        <v>185.96000741578882</v>
      </c>
      <c r="D69" s="107"/>
      <c r="E69" s="87">
        <v>174.51670000000001</v>
      </c>
      <c r="F69" s="87">
        <v>150.96209</v>
      </c>
      <c r="G69" s="88"/>
      <c r="H69" s="108">
        <f>(6425.9476+32639.739)/1000</f>
        <v>39.0656866</v>
      </c>
    </row>
    <row r="70" spans="1:8" ht="19.5" thickBot="1" thickTop="1">
      <c r="A70" s="109" t="s">
        <v>118</v>
      </c>
      <c r="B70" s="110" t="s">
        <v>119</v>
      </c>
      <c r="C70" s="111">
        <v>3208.087436725845</v>
      </c>
      <c r="D70" s="111"/>
      <c r="E70" s="112">
        <v>2787.4210300000004</v>
      </c>
      <c r="F70" s="112">
        <v>2674.2760900000003</v>
      </c>
      <c r="G70" s="112">
        <v>0</v>
      </c>
      <c r="H70" s="113">
        <f>H25+H64</f>
        <v>113.14494000000013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72.8214</v>
      </c>
      <c r="F71" s="112">
        <v>70.80595000000001</v>
      </c>
      <c r="G71" s="112">
        <v>0</v>
      </c>
      <c r="H71" s="113">
        <f>E71-F71</f>
        <v>2.015449999999987</v>
      </c>
    </row>
    <row r="72" spans="1:8" ht="15.75" thickTop="1">
      <c r="A72" s="115"/>
      <c r="B72" s="116" t="s">
        <v>122</v>
      </c>
      <c r="C72" s="103"/>
      <c r="D72" s="103"/>
      <c r="E72" s="81">
        <v>68.7534</v>
      </c>
      <c r="F72" s="81">
        <v>70.80595000000001</v>
      </c>
      <c r="G72" s="117"/>
      <c r="H72" s="104">
        <f>E72-F72</f>
        <v>-2.0525500000000108</v>
      </c>
    </row>
    <row r="73" spans="1:8" ht="15">
      <c r="A73" s="115"/>
      <c r="B73" s="116" t="s">
        <v>123</v>
      </c>
      <c r="C73" s="103"/>
      <c r="D73" s="103"/>
      <c r="E73" s="81">
        <v>4.068</v>
      </c>
      <c r="F73" s="81">
        <v>0</v>
      </c>
      <c r="G73" s="119"/>
      <c r="H73" s="104">
        <f>E73-F73</f>
        <v>4.068</v>
      </c>
    </row>
    <row r="74" spans="1:8" ht="29.25" thickBot="1">
      <c r="A74" s="120"/>
      <c r="B74" s="121" t="s">
        <v>124</v>
      </c>
      <c r="C74" s="122"/>
      <c r="D74" s="123"/>
      <c r="E74" s="124">
        <v>181.307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53.48067</v>
      </c>
      <c r="D75" s="114"/>
      <c r="E75" s="112">
        <v>53.48067</v>
      </c>
      <c r="F75" s="112">
        <v>44.32992</v>
      </c>
      <c r="G75" s="112"/>
      <c r="H75" s="113">
        <f>E75-F75</f>
        <v>9.150750000000002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2085.10239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1075.3509999999999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969.4839400000003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40.26744999999999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3">
    <tabColor theme="6" tint="-0.24997000396251678"/>
  </sheetPr>
  <dimension ref="A1:H104"/>
  <sheetViews>
    <sheetView zoomScaleSheetLayoutView="80" zoomScalePageLayoutView="0" workbookViewId="0" topLeftCell="A1">
      <selection activeCell="E25" sqref="E25"/>
    </sheetView>
  </sheetViews>
  <sheetFormatPr defaultColWidth="9.140625" defaultRowHeight="15"/>
  <cols>
    <col min="1" max="1" width="8.7109375" style="134" customWidth="1"/>
    <col min="2" max="2" width="53.421875" style="2" customWidth="1"/>
    <col min="3" max="3" width="14.57421875" style="2" customWidth="1"/>
    <col min="4" max="4" width="10.28125" style="2" customWidth="1"/>
    <col min="5" max="5" width="18.8515625" style="2" customWidth="1"/>
    <col min="6" max="6" width="23.8515625" style="2" customWidth="1"/>
    <col min="7" max="7" width="24.00390625" style="2" customWidth="1"/>
    <col min="8" max="8" width="18.421875" style="2" hidden="1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Советская</v>
      </c>
      <c r="E2" s="5"/>
      <c r="F2" s="5" t="s">
        <v>3</v>
      </c>
      <c r="G2" s="7">
        <f>D17</f>
        <v>8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152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12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171</v>
      </c>
      <c r="C17" s="31" t="s">
        <v>3</v>
      </c>
      <c r="D17" s="31">
        <v>8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1128.6999999999998</v>
      </c>
      <c r="F19" s="39" t="s">
        <v>20</v>
      </c>
    </row>
    <row r="20" spans="1:6" s="8" customFormat="1" ht="18">
      <c r="A20" s="35"/>
      <c r="B20" s="8" t="s">
        <v>21</v>
      </c>
      <c r="E20" s="146">
        <v>587.68</v>
      </c>
      <c r="F20" s="8" t="s">
        <v>20</v>
      </c>
    </row>
    <row r="21" spans="1:6" s="8" customFormat="1" ht="18">
      <c r="A21" s="41"/>
      <c r="B21" s="8" t="s">
        <v>22</v>
      </c>
      <c r="E21" s="146">
        <v>511.21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29.81</v>
      </c>
      <c r="F22" s="8" t="s">
        <v>20</v>
      </c>
    </row>
    <row r="23" spans="1:8" s="48" customFormat="1" ht="79.5" customHeight="1">
      <c r="A23" s="44" t="s">
        <v>24</v>
      </c>
      <c r="B23" s="44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2.75">
      <c r="A24" s="49"/>
      <c r="B24" s="49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2579.363799246762</v>
      </c>
      <c r="D25" s="57">
        <v>0</v>
      </c>
      <c r="E25" s="58">
        <v>1859.608</v>
      </c>
      <c r="F25" s="58">
        <v>1794.8000000000002</v>
      </c>
      <c r="G25" s="58">
        <v>62.444563200000005</v>
      </c>
      <c r="H25" s="59">
        <f>E25-F25</f>
        <v>64.80799999999977</v>
      </c>
    </row>
    <row r="26" spans="1:8" s="30" customFormat="1" ht="18">
      <c r="A26" s="60" t="s">
        <v>36</v>
      </c>
      <c r="B26" s="61" t="s">
        <v>37</v>
      </c>
      <c r="C26" s="62">
        <v>1110.15902</v>
      </c>
      <c r="D26" s="62"/>
      <c r="E26" s="63">
        <v>534.038</v>
      </c>
      <c r="F26" s="63">
        <v>515.47</v>
      </c>
      <c r="G26" s="63">
        <v>18.983527200000005</v>
      </c>
      <c r="H26" s="64">
        <f>E26-F26</f>
        <v>18.567999999999984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1469.2047792467617</v>
      </c>
      <c r="D50" s="62">
        <v>0</v>
      </c>
      <c r="E50" s="63">
        <v>1325.57</v>
      </c>
      <c r="F50" s="63">
        <v>1279.3300000000002</v>
      </c>
      <c r="G50" s="63">
        <v>43.46103600000001</v>
      </c>
      <c r="H50" s="64">
        <f aca="true" t="shared" si="0" ref="H50:H62">E50-F50</f>
        <v>46.23999999999978</v>
      </c>
    </row>
    <row r="51" spans="1:8" ht="15">
      <c r="A51" s="77" t="s">
        <v>84</v>
      </c>
      <c r="B51" s="78" t="s">
        <v>85</v>
      </c>
      <c r="C51" s="79">
        <v>410.3585881876387</v>
      </c>
      <c r="D51" s="80"/>
      <c r="E51" s="73">
        <v>210.475</v>
      </c>
      <c r="F51" s="73">
        <v>202.99</v>
      </c>
      <c r="G51" s="81">
        <v>6.950599200000002</v>
      </c>
      <c r="H51" s="82">
        <f t="shared" si="0"/>
        <v>7.484999999999985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43.68793256717881</v>
      </c>
      <c r="D53" s="80"/>
      <c r="E53" s="73">
        <v>42.745</v>
      </c>
      <c r="F53" s="73">
        <v>40.38</v>
      </c>
      <c r="G53" s="81">
        <v>1.4170356000000002</v>
      </c>
      <c r="H53" s="82">
        <f t="shared" si="0"/>
        <v>2.364999999999995</v>
      </c>
    </row>
    <row r="54" spans="1:8" ht="15">
      <c r="A54" s="77" t="s">
        <v>90</v>
      </c>
      <c r="B54" s="78" t="s">
        <v>91</v>
      </c>
      <c r="C54" s="79">
        <v>183.95444525052366</v>
      </c>
      <c r="D54" s="80"/>
      <c r="E54" s="73">
        <v>176.092</v>
      </c>
      <c r="F54" s="73">
        <v>169.98</v>
      </c>
      <c r="G54" s="81">
        <v>5.668142400000001</v>
      </c>
      <c r="H54" s="82">
        <f t="shared" si="0"/>
        <v>6.112000000000023</v>
      </c>
    </row>
    <row r="55" spans="1:8" ht="31.5" customHeight="1">
      <c r="A55" s="77" t="s">
        <v>92</v>
      </c>
      <c r="B55" s="78" t="s">
        <v>93</v>
      </c>
      <c r="C55" s="79">
        <v>370.09140721980316</v>
      </c>
      <c r="D55" s="80"/>
      <c r="E55" s="73">
        <v>463.695</v>
      </c>
      <c r="F55" s="73">
        <v>451.57</v>
      </c>
      <c r="G55" s="81">
        <v>14.6532564</v>
      </c>
      <c r="H55" s="82">
        <f t="shared" si="0"/>
        <v>12.125</v>
      </c>
    </row>
    <row r="56" spans="1:8" ht="15">
      <c r="A56" s="77" t="s">
        <v>94</v>
      </c>
      <c r="B56" s="78" t="s">
        <v>95</v>
      </c>
      <c r="C56" s="79">
        <v>279.90079549447694</v>
      </c>
      <c r="D56" s="80"/>
      <c r="E56" s="73">
        <v>253.22</v>
      </c>
      <c r="F56" s="73">
        <v>244.63</v>
      </c>
      <c r="G56" s="81">
        <v>8.7238728</v>
      </c>
      <c r="H56" s="82">
        <f t="shared" si="0"/>
        <v>8.590000000000003</v>
      </c>
    </row>
    <row r="57" spans="1:8" ht="15">
      <c r="A57" s="77" t="s">
        <v>96</v>
      </c>
      <c r="B57" s="78" t="s">
        <v>97</v>
      </c>
      <c r="C57" s="79">
        <v>7.116138157873475</v>
      </c>
      <c r="D57" s="80"/>
      <c r="E57" s="73">
        <v>10.221</v>
      </c>
      <c r="F57" s="73">
        <v>9.69</v>
      </c>
      <c r="G57" s="81">
        <v>0.3404052000000001</v>
      </c>
      <c r="H57" s="82">
        <f t="shared" si="0"/>
        <v>0.5310000000000006</v>
      </c>
    </row>
    <row r="58" spans="1:8" s="30" customFormat="1" ht="15.75">
      <c r="A58" s="77" t="s">
        <v>98</v>
      </c>
      <c r="B58" s="78" t="s">
        <v>99</v>
      </c>
      <c r="C58" s="79">
        <v>172.36911934633372</v>
      </c>
      <c r="D58" s="80"/>
      <c r="E58" s="73">
        <v>167.264</v>
      </c>
      <c r="F58" s="73">
        <v>158.3</v>
      </c>
      <c r="G58" s="81">
        <v>5.6523096000000015</v>
      </c>
      <c r="H58" s="82">
        <f t="shared" si="0"/>
        <v>8.963999999999999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29.2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1.7263530229334332</v>
      </c>
      <c r="D61" s="80"/>
      <c r="E61" s="73">
        <v>1.858</v>
      </c>
      <c r="F61" s="73">
        <v>1.79</v>
      </c>
      <c r="G61" s="81">
        <v>0.055414800000000014</v>
      </c>
      <c r="H61" s="82">
        <f t="shared" si="0"/>
        <v>0.06800000000000006</v>
      </c>
    </row>
    <row r="62" spans="1:8" s="30" customFormat="1" ht="16.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ht="46.5" hidden="1" thickBot="1" thickTop="1">
      <c r="A63" s="90" t="s">
        <v>108</v>
      </c>
      <c r="B63" s="91" t="s">
        <v>109</v>
      </c>
      <c r="C63" s="92">
        <v>-575.7054928</v>
      </c>
      <c r="D63" s="93"/>
      <c r="E63" s="94" t="s">
        <v>110</v>
      </c>
      <c r="F63" s="94"/>
      <c r="G63" s="94"/>
      <c r="H63" s="95"/>
    </row>
    <row r="64" spans="1:8" ht="18.75" thickTop="1">
      <c r="A64" s="96" t="s">
        <v>111</v>
      </c>
      <c r="B64" s="97" t="s">
        <v>112</v>
      </c>
      <c r="C64" s="98">
        <v>2788.690117335866</v>
      </c>
      <c r="D64" s="98"/>
      <c r="E64" s="99">
        <v>2626.4569</v>
      </c>
      <c r="F64" s="99">
        <v>2427.9776300000003</v>
      </c>
      <c r="G64" s="99">
        <v>48.6541944</v>
      </c>
      <c r="H64" s="100">
        <f>E64-F64</f>
        <v>198.47926999999981</v>
      </c>
    </row>
    <row r="65" spans="1:8" ht="15">
      <c r="A65" s="101"/>
      <c r="B65" s="102" t="s">
        <v>113</v>
      </c>
      <c r="C65" s="103">
        <v>1521.5644382180787</v>
      </c>
      <c r="D65" s="103"/>
      <c r="E65" s="73">
        <v>1437.30556</v>
      </c>
      <c r="F65" s="73">
        <v>1355.518</v>
      </c>
      <c r="G65" s="81">
        <v>48.6541944</v>
      </c>
      <c r="H65" s="104">
        <f>E65-F65</f>
        <v>81.78755999999998</v>
      </c>
    </row>
    <row r="66" spans="1:8" ht="15">
      <c r="A66" s="101"/>
      <c r="B66" s="102" t="s">
        <v>114</v>
      </c>
      <c r="C66" s="103">
        <v>321.53269084557536</v>
      </c>
      <c r="D66" s="103"/>
      <c r="E66" s="73">
        <v>301.74673</v>
      </c>
      <c r="F66" s="73">
        <v>288.296</v>
      </c>
      <c r="G66" s="81"/>
      <c r="H66" s="104">
        <f>E66-F66</f>
        <v>13.450730000000021</v>
      </c>
    </row>
    <row r="67" spans="1:8" ht="15">
      <c r="A67" s="101"/>
      <c r="B67" s="102" t="s">
        <v>115</v>
      </c>
      <c r="C67" s="103">
        <v>277.0084178478372</v>
      </c>
      <c r="D67" s="103"/>
      <c r="E67" s="73">
        <v>259.96232</v>
      </c>
      <c r="F67" s="73">
        <v>249.703</v>
      </c>
      <c r="G67" s="81"/>
      <c r="H67" s="104">
        <f>E67-F67</f>
        <v>10.259319999999974</v>
      </c>
    </row>
    <row r="68" spans="1:8" ht="15">
      <c r="A68" s="101"/>
      <c r="B68" s="102" t="s">
        <v>116</v>
      </c>
      <c r="C68" s="103">
        <v>373.64569708668444</v>
      </c>
      <c r="D68" s="103"/>
      <c r="E68" s="73">
        <v>350.65289</v>
      </c>
      <c r="F68" s="73">
        <v>333.694</v>
      </c>
      <c r="G68" s="81"/>
      <c r="H68" s="104">
        <f>E68-F68</f>
        <v>16.958889999999997</v>
      </c>
    </row>
    <row r="69" spans="1:8" ht="15.75" thickBot="1">
      <c r="A69" s="105"/>
      <c r="B69" s="106" t="s">
        <v>117</v>
      </c>
      <c r="C69" s="107">
        <v>294.9388733376905</v>
      </c>
      <c r="D69" s="107"/>
      <c r="E69" s="87">
        <v>276.7894</v>
      </c>
      <c r="F69" s="87">
        <v>200.76663</v>
      </c>
      <c r="G69" s="88"/>
      <c r="H69" s="108">
        <f>(30132.93+67180.146)/1000</f>
        <v>97.313076</v>
      </c>
    </row>
    <row r="70" spans="1:8" ht="19.5" thickBot="1" thickTop="1">
      <c r="A70" s="109" t="s">
        <v>118</v>
      </c>
      <c r="B70" s="110" t="s">
        <v>119</v>
      </c>
      <c r="C70" s="111">
        <v>5368.0539165826285</v>
      </c>
      <c r="D70" s="111"/>
      <c r="E70" s="112">
        <v>4486.0649</v>
      </c>
      <c r="F70" s="112">
        <v>4222.7776300000005</v>
      </c>
      <c r="G70" s="112">
        <v>111.0987576</v>
      </c>
      <c r="H70" s="113">
        <f>H25+H64</f>
        <v>263.2872699999996</v>
      </c>
    </row>
    <row r="71" spans="1:8" ht="19.5" thickBot="1" thickTop="1">
      <c r="A71" s="109" t="s">
        <v>120</v>
      </c>
      <c r="B71" s="110" t="s">
        <v>121</v>
      </c>
      <c r="C71" s="114"/>
      <c r="D71" s="114"/>
      <c r="E71" s="112">
        <v>126.13121</v>
      </c>
      <c r="F71" s="112">
        <v>129.08816</v>
      </c>
      <c r="G71" s="112">
        <v>0</v>
      </c>
      <c r="H71" s="113">
        <f>E71-F71</f>
        <v>-2.956949999999992</v>
      </c>
    </row>
    <row r="72" spans="1:8" ht="15.75" thickTop="1">
      <c r="A72" s="115"/>
      <c r="B72" s="116" t="s">
        <v>122</v>
      </c>
      <c r="C72" s="103"/>
      <c r="D72" s="103"/>
      <c r="E72" s="81">
        <v>126.13121</v>
      </c>
      <c r="F72" s="81">
        <v>129.08816</v>
      </c>
      <c r="G72" s="117"/>
      <c r="H72" s="104">
        <f>E72-F72</f>
        <v>-2.956949999999992</v>
      </c>
    </row>
    <row r="73" spans="1:8" ht="15">
      <c r="A73" s="115"/>
      <c r="B73" s="116" t="s">
        <v>123</v>
      </c>
      <c r="C73" s="103"/>
      <c r="D73" s="103"/>
      <c r="E73" s="81"/>
      <c r="F73" s="81"/>
      <c r="G73" s="119"/>
      <c r="H73" s="104">
        <f>E73-F73</f>
        <v>0</v>
      </c>
    </row>
    <row r="74" spans="1:8" ht="29.25" thickBot="1">
      <c r="A74" s="120"/>
      <c r="B74" s="121" t="s">
        <v>124</v>
      </c>
      <c r="C74" s="122"/>
      <c r="D74" s="123"/>
      <c r="E74" s="124">
        <v>422.965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417.90623</v>
      </c>
      <c r="D75" s="114"/>
      <c r="E75" s="112">
        <v>417.90623</v>
      </c>
      <c r="F75" s="112">
        <v>346.40089</v>
      </c>
      <c r="G75" s="112"/>
      <c r="H75" s="113">
        <f>E75-F75</f>
        <v>71.50533999999999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1389.0303199999996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652.4879999999997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709.6892699999999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26.853050000000007</v>
      </c>
      <c r="H79" s="133"/>
    </row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4">
    <tabColor theme="7" tint="0.39998000860214233"/>
  </sheetPr>
  <dimension ref="A1:H104"/>
  <sheetViews>
    <sheetView zoomScaleSheetLayoutView="85" zoomScalePageLayoutView="0" workbookViewId="0" topLeftCell="A1">
      <selection activeCell="E75" sqref="E75"/>
    </sheetView>
  </sheetViews>
  <sheetFormatPr defaultColWidth="9.140625" defaultRowHeight="15"/>
  <cols>
    <col min="1" max="1" width="8.57421875" style="187" customWidth="1"/>
    <col min="2" max="2" width="57.140625" style="140" customWidth="1"/>
    <col min="3" max="3" width="15.57421875" style="140" customWidth="1"/>
    <col min="4" max="4" width="8.57421875" style="140" customWidth="1"/>
    <col min="5" max="5" width="15.8515625" style="140" customWidth="1"/>
    <col min="6" max="6" width="19.421875" style="140" customWidth="1"/>
    <col min="7" max="7" width="20.57421875" style="140" customWidth="1"/>
    <col min="8" max="8" width="18.28125" style="140" hidden="1" customWidth="1"/>
    <col min="9" max="16384" width="9.140625" style="140" customWidth="1"/>
  </cols>
  <sheetData>
    <row r="1" spans="1:8" ht="18.75">
      <c r="A1" s="353" t="s">
        <v>0</v>
      </c>
      <c r="B1" s="353"/>
      <c r="C1" s="353"/>
      <c r="D1" s="353"/>
      <c r="E1" s="353"/>
      <c r="F1" s="353"/>
      <c r="G1" s="353"/>
      <c r="H1" s="353"/>
    </row>
    <row r="2" spans="1:8" s="141" customFormat="1" ht="15.75">
      <c r="A2" s="354"/>
      <c r="B2" s="355" t="s">
        <v>1</v>
      </c>
      <c r="C2" s="356" t="s">
        <v>2</v>
      </c>
      <c r="D2" s="356" t="str">
        <f>B17</f>
        <v>Талнахская </v>
      </c>
      <c r="E2" s="356"/>
      <c r="F2" s="356" t="s">
        <v>3</v>
      </c>
      <c r="G2" s="357">
        <f>D17</f>
        <v>67</v>
      </c>
      <c r="H2" s="356"/>
    </row>
    <row r="3" spans="1:8" ht="35.25" customHeight="1">
      <c r="A3" s="358" t="s">
        <v>135</v>
      </c>
      <c r="B3" s="358"/>
      <c r="C3" s="358"/>
      <c r="D3" s="358"/>
      <c r="E3" s="358"/>
      <c r="F3" s="358"/>
      <c r="G3" s="358"/>
      <c r="H3" s="358"/>
    </row>
    <row r="4" spans="1:8" ht="53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8" customHeight="1">
      <c r="A13" s="26"/>
      <c r="B13" s="26"/>
      <c r="C13" s="26"/>
      <c r="D13" s="26"/>
      <c r="E13" s="26"/>
      <c r="F13" s="26"/>
      <c r="G13" s="26"/>
      <c r="H13" s="26"/>
    </row>
    <row r="14" spans="1:8" ht="11.2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172</v>
      </c>
      <c r="C17" s="31" t="s">
        <v>3</v>
      </c>
      <c r="D17" s="31">
        <v>67</v>
      </c>
      <c r="E17" s="31" t="s">
        <v>18</v>
      </c>
      <c r="F17" s="31"/>
      <c r="G17" s="31"/>
      <c r="H17" s="33"/>
    </row>
    <row r="18" spans="1:8" s="141" customFormat="1" ht="3.75" customHeight="1">
      <c r="A18" s="35"/>
      <c r="B18" s="36"/>
      <c r="C18" s="8"/>
      <c r="D18" s="8"/>
      <c r="E18" s="8"/>
      <c r="F18" s="8"/>
      <c r="G18" s="8"/>
      <c r="H18" s="8"/>
    </row>
    <row r="19" spans="1:8" s="141" customFormat="1" ht="18">
      <c r="A19" s="35"/>
      <c r="B19" s="32" t="s">
        <v>19</v>
      </c>
      <c r="C19" s="8"/>
      <c r="D19" s="8"/>
      <c r="E19" s="38">
        <f>E20+E21+E22</f>
        <v>39.29</v>
      </c>
      <c r="F19" s="39" t="s">
        <v>20</v>
      </c>
      <c r="G19" s="8"/>
      <c r="H19" s="8"/>
    </row>
    <row r="20" spans="1:8" s="141" customFormat="1" ht="15.75">
      <c r="A20" s="35"/>
      <c r="B20" s="8" t="s">
        <v>21</v>
      </c>
      <c r="C20" s="8"/>
      <c r="D20" s="8"/>
      <c r="E20" s="204">
        <v>5.39</v>
      </c>
      <c r="F20" s="8" t="s">
        <v>20</v>
      </c>
      <c r="G20" s="8"/>
      <c r="H20" s="8"/>
    </row>
    <row r="21" spans="1:8" s="141" customFormat="1" ht="15.75">
      <c r="A21" s="41"/>
      <c r="B21" s="8" t="s">
        <v>22</v>
      </c>
      <c r="C21" s="8"/>
      <c r="D21" s="8"/>
      <c r="E21" s="204">
        <v>33.9</v>
      </c>
      <c r="F21" s="8" t="s">
        <v>20</v>
      </c>
      <c r="G21" s="8"/>
      <c r="H21" s="8"/>
    </row>
    <row r="22" spans="1:8" s="143" customFormat="1" ht="15.75">
      <c r="A22" s="42"/>
      <c r="B22" s="8" t="s">
        <v>23</v>
      </c>
      <c r="C22" s="43"/>
      <c r="D22" s="43"/>
      <c r="E22" s="204">
        <v>0</v>
      </c>
      <c r="F22" s="8" t="s">
        <v>20</v>
      </c>
      <c r="G22" s="30"/>
      <c r="H22" s="30"/>
    </row>
    <row r="23" spans="1:8" s="149" customFormat="1" ht="87.75" customHeight="1">
      <c r="A23" s="44" t="s">
        <v>24</v>
      </c>
      <c r="B23" s="147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0.7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159</v>
      </c>
      <c r="H24" s="52" t="s">
        <v>30</v>
      </c>
    </row>
    <row r="25" spans="1:8" s="209" customFormat="1" ht="21.75" customHeight="1">
      <c r="A25" s="55" t="s">
        <v>34</v>
      </c>
      <c r="B25" s="56" t="s">
        <v>35</v>
      </c>
      <c r="C25" s="57">
        <v>1811.7129294957517</v>
      </c>
      <c r="D25" s="57">
        <v>0</v>
      </c>
      <c r="E25" s="58">
        <v>245.5849</v>
      </c>
      <c r="F25" s="58">
        <v>248.38</v>
      </c>
      <c r="G25" s="352">
        <v>1122.6163989053316</v>
      </c>
      <c r="H25" s="59">
        <f>E25-F25</f>
        <v>-2.795099999999991</v>
      </c>
    </row>
    <row r="26" spans="1:8" s="143" customFormat="1" ht="18">
      <c r="A26" s="60" t="s">
        <v>36</v>
      </c>
      <c r="B26" s="61" t="s">
        <v>37</v>
      </c>
      <c r="C26" s="62">
        <v>298.54</v>
      </c>
      <c r="D26" s="62"/>
      <c r="E26" s="63">
        <v>54.575</v>
      </c>
      <c r="F26" s="63">
        <v>55.19</v>
      </c>
      <c r="G26" s="313">
        <v>218.845</v>
      </c>
      <c r="H26" s="64">
        <f>E26-F26</f>
        <v>-0.6149999999999949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314"/>
      <c r="F27" s="314"/>
      <c r="G27" s="314"/>
      <c r="H27" s="315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30" customHeight="1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58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59" customFormat="1" ht="29.2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60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ht="28.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ht="18">
      <c r="A50" s="75" t="s">
        <v>82</v>
      </c>
      <c r="B50" s="76" t="s">
        <v>83</v>
      </c>
      <c r="C50" s="62">
        <v>1513.1729294957518</v>
      </c>
      <c r="D50" s="62">
        <v>0</v>
      </c>
      <c r="E50" s="63">
        <v>191.00990000000002</v>
      </c>
      <c r="F50" s="63">
        <v>193.19</v>
      </c>
      <c r="G50" s="63">
        <v>903.771</v>
      </c>
      <c r="H50" s="64">
        <f aca="true" t="shared" si="0" ref="H50:H62">E50-F50</f>
        <v>-2.1800999999999817</v>
      </c>
    </row>
    <row r="51" spans="1:8" ht="15">
      <c r="A51" s="77" t="s">
        <v>84</v>
      </c>
      <c r="B51" s="78" t="s">
        <v>85</v>
      </c>
      <c r="C51" s="79">
        <v>154.1885059014964</v>
      </c>
      <c r="D51" s="80"/>
      <c r="E51" s="73">
        <v>13.124</v>
      </c>
      <c r="F51" s="73">
        <v>13.26</v>
      </c>
      <c r="G51" s="81">
        <v>60.873999999999995</v>
      </c>
      <c r="H51" s="82">
        <f t="shared" si="0"/>
        <v>-0.13599999999999923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15.997792744228345</v>
      </c>
      <c r="D53" s="80"/>
      <c r="E53" s="73">
        <v>2.616</v>
      </c>
      <c r="F53" s="73">
        <v>2.66</v>
      </c>
      <c r="G53" s="81">
        <v>12.616</v>
      </c>
      <c r="H53" s="82">
        <f t="shared" si="0"/>
        <v>-0.04400000000000004</v>
      </c>
    </row>
    <row r="54" spans="1:8" ht="15">
      <c r="A54" s="77" t="s">
        <v>90</v>
      </c>
      <c r="B54" s="78" t="s">
        <v>91</v>
      </c>
      <c r="C54" s="79">
        <v>49.43919401240618</v>
      </c>
      <c r="D54" s="80"/>
      <c r="E54" s="73">
        <v>7.747</v>
      </c>
      <c r="F54" s="73">
        <v>7.82</v>
      </c>
      <c r="G54" s="81">
        <v>35.728</v>
      </c>
      <c r="H54" s="82">
        <f t="shared" si="0"/>
        <v>-0.0730000000000004</v>
      </c>
    </row>
    <row r="55" spans="1:8" ht="28.5">
      <c r="A55" s="77" t="s">
        <v>92</v>
      </c>
      <c r="B55" s="78" t="s">
        <v>93</v>
      </c>
      <c r="C55" s="79">
        <v>463.24589747536567</v>
      </c>
      <c r="D55" s="80"/>
      <c r="E55" s="73">
        <v>54.928</v>
      </c>
      <c r="F55" s="73">
        <v>55.56</v>
      </c>
      <c r="G55" s="81">
        <v>257.676</v>
      </c>
      <c r="H55" s="82">
        <f t="shared" si="0"/>
        <v>-0.632000000000005</v>
      </c>
    </row>
    <row r="56" spans="1:8" ht="15">
      <c r="A56" s="77" t="s">
        <v>94</v>
      </c>
      <c r="B56" s="78" t="s">
        <v>95</v>
      </c>
      <c r="C56" s="79">
        <v>40.22202659756269</v>
      </c>
      <c r="D56" s="80"/>
      <c r="E56" s="73">
        <v>4.967</v>
      </c>
      <c r="F56" s="73">
        <v>5.02</v>
      </c>
      <c r="G56" s="81">
        <v>31.507</v>
      </c>
      <c r="H56" s="82">
        <f t="shared" si="0"/>
        <v>-0.052999999999999936</v>
      </c>
    </row>
    <row r="57" spans="1:8" ht="15">
      <c r="A57" s="77" t="s">
        <v>96</v>
      </c>
      <c r="B57" s="78" t="s">
        <v>97</v>
      </c>
      <c r="C57" s="79">
        <v>24.221518072020046</v>
      </c>
      <c r="D57" s="80"/>
      <c r="E57" s="73">
        <v>6.01</v>
      </c>
      <c r="F57" s="73">
        <v>6.09</v>
      </c>
      <c r="G57" s="81">
        <v>29.761</v>
      </c>
      <c r="H57" s="82">
        <f t="shared" si="0"/>
        <v>-0.08000000000000007</v>
      </c>
    </row>
    <row r="58" spans="1:8" ht="15">
      <c r="A58" s="77" t="s">
        <v>98</v>
      </c>
      <c r="B58" s="78" t="s">
        <v>99</v>
      </c>
      <c r="C58" s="79">
        <v>35.70715290211022</v>
      </c>
      <c r="D58" s="80"/>
      <c r="E58" s="73">
        <v>5.498</v>
      </c>
      <c r="F58" s="73">
        <v>5.56</v>
      </c>
      <c r="G58" s="81">
        <v>22.844</v>
      </c>
      <c r="H58" s="82">
        <f t="shared" si="0"/>
        <v>-0.06199999999999939</v>
      </c>
    </row>
    <row r="59" spans="1:8" ht="15">
      <c r="A59" s="77" t="s">
        <v>100</v>
      </c>
      <c r="B59" s="78" t="s">
        <v>101</v>
      </c>
      <c r="C59" s="79">
        <v>729.1108641400439</v>
      </c>
      <c r="D59" s="80"/>
      <c r="E59" s="73">
        <v>95.302</v>
      </c>
      <c r="F59" s="73">
        <v>96.4</v>
      </c>
      <c r="G59" s="81">
        <v>452.40999999999997</v>
      </c>
      <c r="H59" s="82">
        <f t="shared" si="0"/>
        <v>-1.097999999999999</v>
      </c>
    </row>
    <row r="60" spans="1:8" ht="15" hidden="1">
      <c r="A60" s="77" t="s">
        <v>102</v>
      </c>
      <c r="B60" s="78" t="s">
        <v>103</v>
      </c>
      <c r="C60" s="79"/>
      <c r="D60" s="79"/>
      <c r="E60" s="73"/>
      <c r="F60" s="73"/>
      <c r="G60" s="81">
        <v>0</v>
      </c>
      <c r="H60" s="82">
        <f t="shared" si="0"/>
        <v>0</v>
      </c>
    </row>
    <row r="61" spans="1:8" ht="28.5">
      <c r="A61" s="77" t="s">
        <v>104</v>
      </c>
      <c r="B61" s="78" t="s">
        <v>105</v>
      </c>
      <c r="C61" s="79">
        <v>1.0399776505181775</v>
      </c>
      <c r="D61" s="80"/>
      <c r="E61" s="73">
        <v>0.8179</v>
      </c>
      <c r="F61" s="73">
        <v>0.82</v>
      </c>
      <c r="G61" s="81">
        <v>0.355</v>
      </c>
      <c r="H61" s="82">
        <f t="shared" si="0"/>
        <v>-0.0020999999999999908</v>
      </c>
    </row>
    <row r="62" spans="1:8" ht="15.75" thickBot="1">
      <c r="A62" s="83" t="s">
        <v>106</v>
      </c>
      <c r="B62" s="84" t="s">
        <v>107</v>
      </c>
      <c r="C62" s="85"/>
      <c r="D62" s="86"/>
      <c r="E62" s="87"/>
      <c r="F62" s="87"/>
      <c r="G62" s="81">
        <v>0</v>
      </c>
      <c r="H62" s="89">
        <f t="shared" si="0"/>
        <v>0</v>
      </c>
    </row>
    <row r="63" spans="1:8" ht="46.5" hidden="1" thickBot="1" thickTop="1">
      <c r="A63" s="359" t="s">
        <v>108</v>
      </c>
      <c r="B63" s="360" t="s">
        <v>155</v>
      </c>
      <c r="C63" s="393">
        <v>-24.505000000000052</v>
      </c>
      <c r="D63" s="393"/>
      <c r="E63" s="362" t="s">
        <v>110</v>
      </c>
      <c r="F63" s="362"/>
      <c r="G63" s="363"/>
      <c r="H63" s="364"/>
    </row>
    <row r="64" spans="1:8" s="141" customFormat="1" ht="19.5" thickBot="1" thickTop="1">
      <c r="A64" s="165" t="s">
        <v>111</v>
      </c>
      <c r="B64" s="234" t="s">
        <v>112</v>
      </c>
      <c r="C64" s="114">
        <v>826.96285046381</v>
      </c>
      <c r="D64" s="114"/>
      <c r="E64" s="112">
        <v>251.30095</v>
      </c>
      <c r="F64" s="112">
        <v>257.31639</v>
      </c>
      <c r="G64" s="112">
        <v>8.5810452</v>
      </c>
      <c r="H64" s="113">
        <f>E64-F64</f>
        <v>-6.015440000000012</v>
      </c>
    </row>
    <row r="65" spans="1:8" ht="15.75" thickTop="1">
      <c r="A65" s="176"/>
      <c r="B65" s="170" t="s">
        <v>113</v>
      </c>
      <c r="C65" s="171">
        <v>688.94605171981</v>
      </c>
      <c r="D65" s="171"/>
      <c r="E65" s="163">
        <v>130.84045</v>
      </c>
      <c r="F65" s="163">
        <v>131.044</v>
      </c>
      <c r="G65" s="163">
        <v>8.5810452</v>
      </c>
      <c r="H65" s="173">
        <f>E65-F65</f>
        <v>-0.203550000000007</v>
      </c>
    </row>
    <row r="66" spans="1:8" ht="15">
      <c r="A66" s="115"/>
      <c r="B66" s="116" t="s">
        <v>114</v>
      </c>
      <c r="C66" s="103">
        <v>22.610673464799998</v>
      </c>
      <c r="D66" s="103"/>
      <c r="E66" s="81">
        <v>22.91452</v>
      </c>
      <c r="F66" s="81">
        <v>23.077</v>
      </c>
      <c r="G66" s="81"/>
      <c r="H66" s="104">
        <f>E66-F66</f>
        <v>-0.16248000000000218</v>
      </c>
    </row>
    <row r="67" spans="1:8" ht="15">
      <c r="A67" s="115"/>
      <c r="B67" s="116" t="s">
        <v>115</v>
      </c>
      <c r="C67" s="103">
        <v>6.3921004056</v>
      </c>
      <c r="D67" s="103"/>
      <c r="E67" s="81">
        <v>6.48102</v>
      </c>
      <c r="F67" s="81">
        <v>6.529</v>
      </c>
      <c r="G67" s="81"/>
      <c r="H67" s="104">
        <f>E67-F67</f>
        <v>-0.04797999999999991</v>
      </c>
    </row>
    <row r="68" spans="1:8" ht="15">
      <c r="A68" s="115"/>
      <c r="B68" s="116" t="s">
        <v>116</v>
      </c>
      <c r="C68" s="103">
        <v>14.170897713599999</v>
      </c>
      <c r="D68" s="103"/>
      <c r="E68" s="81">
        <v>14.22224</v>
      </c>
      <c r="F68" s="81">
        <v>14.326</v>
      </c>
      <c r="G68" s="81"/>
      <c r="H68" s="104">
        <f>E68-F68</f>
        <v>-0.10376000000000118</v>
      </c>
    </row>
    <row r="69" spans="1:8" ht="15.75" thickBot="1">
      <c r="A69" s="318"/>
      <c r="B69" s="174" t="s">
        <v>117</v>
      </c>
      <c r="C69" s="107">
        <v>94.84312716000001</v>
      </c>
      <c r="D69" s="107"/>
      <c r="E69" s="88">
        <v>76.84272</v>
      </c>
      <c r="F69" s="88">
        <v>82.34039</v>
      </c>
      <c r="G69" s="88"/>
      <c r="H69" s="108">
        <f>9.20424-6.1731</f>
        <v>3.0311400000000006</v>
      </c>
    </row>
    <row r="70" spans="1:8" ht="19.5" thickBot="1" thickTop="1">
      <c r="A70" s="165" t="s">
        <v>118</v>
      </c>
      <c r="B70" s="234" t="s">
        <v>119</v>
      </c>
      <c r="C70" s="114">
        <v>2638.6757799595616</v>
      </c>
      <c r="D70" s="114"/>
      <c r="E70" s="112">
        <v>496.88585</v>
      </c>
      <c r="F70" s="112">
        <v>505.69639</v>
      </c>
      <c r="G70" s="112">
        <v>1131.1974441053317</v>
      </c>
      <c r="H70" s="113">
        <f>H25+H64</f>
        <v>-8.810540000000003</v>
      </c>
    </row>
    <row r="71" spans="1:8" ht="19.5" thickBot="1" thickTop="1">
      <c r="A71" s="165" t="s">
        <v>120</v>
      </c>
      <c r="B71" s="234" t="s">
        <v>121</v>
      </c>
      <c r="C71" s="114">
        <v>1001.92148</v>
      </c>
      <c r="D71" s="114"/>
      <c r="E71" s="112">
        <v>27.75671</v>
      </c>
      <c r="F71" s="112">
        <v>27.756690000000003</v>
      </c>
      <c r="G71" s="112">
        <v>0</v>
      </c>
      <c r="H71" s="113">
        <f>E71-F71</f>
        <v>1.9999999999242846E-05</v>
      </c>
    </row>
    <row r="72" spans="1:8" ht="15.75" thickTop="1">
      <c r="A72" s="115"/>
      <c r="B72" s="116" t="s">
        <v>122</v>
      </c>
      <c r="C72" s="118"/>
      <c r="D72" s="118"/>
      <c r="E72" s="119">
        <v>0.07992</v>
      </c>
      <c r="F72" s="119">
        <v>0.07992</v>
      </c>
      <c r="G72" s="119"/>
      <c r="H72" s="104">
        <f>E72-F72</f>
        <v>0</v>
      </c>
    </row>
    <row r="73" spans="1:8" ht="15">
      <c r="A73" s="115"/>
      <c r="B73" s="116" t="s">
        <v>123</v>
      </c>
      <c r="C73" s="118"/>
      <c r="D73" s="118"/>
      <c r="E73" s="119">
        <v>27.67679</v>
      </c>
      <c r="F73" s="119">
        <v>27.67677</v>
      </c>
      <c r="G73" s="119"/>
      <c r="H73" s="104">
        <f>E73-F73</f>
        <v>1.9999999999242846E-05</v>
      </c>
    </row>
    <row r="74" spans="1:8" ht="33" customHeight="1" thickBot="1">
      <c r="A74" s="120"/>
      <c r="B74" s="121" t="s">
        <v>124</v>
      </c>
      <c r="C74" s="122"/>
      <c r="D74" s="123"/>
      <c r="E74" s="124">
        <v>28.082</v>
      </c>
      <c r="F74" s="394" t="s">
        <v>110</v>
      </c>
      <c r="G74" s="126"/>
      <c r="H74" s="127"/>
    </row>
    <row r="75" spans="1:8" ht="34.5" customHeight="1" thickBot="1" thickTop="1">
      <c r="A75" s="109" t="s">
        <v>125</v>
      </c>
      <c r="B75" s="110" t="s">
        <v>126</v>
      </c>
      <c r="C75" s="367">
        <v>1272.44463</v>
      </c>
      <c r="D75" s="367"/>
      <c r="E75" s="368">
        <v>1272.44463</v>
      </c>
      <c r="F75" s="368">
        <v>1272.44463</v>
      </c>
      <c r="G75" s="368"/>
      <c r="H75" s="369">
        <f>E75-F75</f>
        <v>0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324">
        <f>G77+G78+G79</f>
        <v>30.479459999999996</v>
      </c>
      <c r="H76" s="324"/>
    </row>
    <row r="77" spans="1:8" ht="15" collapsed="1">
      <c r="A77" s="131"/>
      <c r="B77" s="325" t="s">
        <v>129</v>
      </c>
      <c r="C77" s="325"/>
      <c r="D77" s="325"/>
      <c r="E77" s="325"/>
      <c r="F77" s="325"/>
      <c r="G77" s="326">
        <f>E20+H25</f>
        <v>2.594900000000009</v>
      </c>
      <c r="H77" s="326"/>
    </row>
    <row r="78" spans="1:8" ht="15" collapsed="1">
      <c r="A78" s="131"/>
      <c r="B78" s="325" t="s">
        <v>130</v>
      </c>
      <c r="C78" s="325"/>
      <c r="D78" s="325"/>
      <c r="E78" s="325"/>
      <c r="F78" s="325"/>
      <c r="G78" s="326">
        <f>E21+H64</f>
        <v>27.884559999999986</v>
      </c>
      <c r="H78" s="326"/>
    </row>
    <row r="79" spans="1:8" ht="15">
      <c r="A79" s="131"/>
      <c r="B79" s="325" t="s">
        <v>131</v>
      </c>
      <c r="C79" s="325"/>
      <c r="D79" s="325"/>
      <c r="E79" s="325"/>
      <c r="F79" s="325"/>
      <c r="G79" s="326">
        <f>E22+H72</f>
        <v>0</v>
      </c>
      <c r="H79" s="326"/>
    </row>
    <row r="80" ht="8.25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theme="6" tint="-0.24997000396251678"/>
  </sheetPr>
  <dimension ref="A1:H104"/>
  <sheetViews>
    <sheetView zoomScaleSheetLayoutView="80" zoomScalePageLayoutView="0" workbookViewId="0" topLeftCell="A1">
      <selection activeCell="E75" sqref="E75"/>
    </sheetView>
  </sheetViews>
  <sheetFormatPr defaultColWidth="9.140625" defaultRowHeight="15"/>
  <cols>
    <col min="1" max="1" width="8.7109375" style="134" customWidth="1"/>
    <col min="2" max="2" width="60.00390625" style="2" customWidth="1"/>
    <col min="3" max="3" width="14.8515625" style="2" customWidth="1"/>
    <col min="4" max="4" width="7.421875" style="2" customWidth="1"/>
    <col min="5" max="5" width="20.28125" style="2" customWidth="1"/>
    <col min="6" max="6" width="23.8515625" style="2" customWidth="1"/>
    <col min="7" max="7" width="18.28125" style="2" customWidth="1"/>
    <col min="8" max="8" width="0.13671875" style="2" customWidth="1"/>
    <col min="9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4</v>
      </c>
      <c r="H2" s="5"/>
    </row>
    <row r="3" spans="1:8" ht="35.25" customHeight="1">
      <c r="A3" s="9" t="s">
        <v>4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150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5.7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7.25" customHeight="1">
      <c r="A13" s="26"/>
      <c r="B13" s="26"/>
      <c r="C13" s="26"/>
      <c r="D13" s="26"/>
      <c r="E13" s="26"/>
      <c r="F13" s="26"/>
      <c r="G13" s="26"/>
      <c r="H13" s="26"/>
    </row>
    <row r="14" spans="1:8" ht="12" customHeight="1">
      <c r="A14" s="27" t="s">
        <v>13</v>
      </c>
      <c r="B14" s="27"/>
      <c r="C14" s="27"/>
      <c r="D14" s="27"/>
      <c r="E14" s="27"/>
      <c r="F14" s="27"/>
      <c r="G14" s="27"/>
      <c r="H14" s="27"/>
    </row>
    <row r="15" spans="1:8" ht="20.25" customHeight="1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30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34" customFormat="1" ht="18">
      <c r="A17" s="31" t="s">
        <v>16</v>
      </c>
      <c r="B17" s="32" t="s">
        <v>148</v>
      </c>
      <c r="C17" s="31" t="s">
        <v>3</v>
      </c>
      <c r="D17" s="31">
        <v>4</v>
      </c>
      <c r="E17" s="31" t="s">
        <v>18</v>
      </c>
      <c r="F17" s="31"/>
      <c r="G17" s="31"/>
      <c r="H17" s="33"/>
    </row>
    <row r="18" spans="1:2" s="8" customFormat="1" ht="4.5" customHeight="1">
      <c r="A18" s="35"/>
      <c r="B18" s="36"/>
    </row>
    <row r="19" spans="1:6" s="8" customFormat="1" ht="18">
      <c r="A19" s="35"/>
      <c r="B19" s="37" t="s">
        <v>19</v>
      </c>
      <c r="E19" s="38">
        <f>E20+E21+E22</f>
        <v>1340.9700000000003</v>
      </c>
      <c r="F19" s="39" t="s">
        <v>20</v>
      </c>
    </row>
    <row r="20" spans="1:6" s="8" customFormat="1" ht="18">
      <c r="A20" s="35"/>
      <c r="B20" s="8" t="s">
        <v>21</v>
      </c>
      <c r="E20" s="146">
        <v>778.69</v>
      </c>
      <c r="F20" s="8" t="s">
        <v>20</v>
      </c>
    </row>
    <row r="21" spans="1:6" s="8" customFormat="1" ht="18">
      <c r="A21" s="41"/>
      <c r="B21" s="8" t="s">
        <v>22</v>
      </c>
      <c r="E21" s="146">
        <v>527.09</v>
      </c>
      <c r="F21" s="8" t="s">
        <v>20</v>
      </c>
    </row>
    <row r="22" spans="1:6" s="30" customFormat="1" ht="18">
      <c r="A22" s="42"/>
      <c r="B22" s="8" t="s">
        <v>23</v>
      </c>
      <c r="C22" s="43"/>
      <c r="D22" s="43"/>
      <c r="E22" s="146">
        <v>35.19</v>
      </c>
      <c r="F22" s="8" t="s">
        <v>20</v>
      </c>
    </row>
    <row r="23" spans="1:8" s="48" customFormat="1" ht="79.5" customHeight="1">
      <c r="A23" s="44" t="s">
        <v>24</v>
      </c>
      <c r="B23" s="147" t="s">
        <v>25</v>
      </c>
      <c r="C23" s="45" t="s">
        <v>26</v>
      </c>
      <c r="D23" s="46"/>
      <c r="E23" s="47" t="s">
        <v>27</v>
      </c>
      <c r="F23" s="45" t="s">
        <v>28</v>
      </c>
      <c r="G23" s="46"/>
      <c r="H23" s="47" t="s">
        <v>29</v>
      </c>
    </row>
    <row r="24" spans="1:8" s="30" customFormat="1" ht="45" customHeight="1">
      <c r="A24" s="49"/>
      <c r="B24" s="150"/>
      <c r="C24" s="50" t="s">
        <v>30</v>
      </c>
      <c r="D24" s="51"/>
      <c r="E24" s="52" t="s">
        <v>31</v>
      </c>
      <c r="F24" s="53" t="s">
        <v>32</v>
      </c>
      <c r="G24" s="54" t="s">
        <v>33</v>
      </c>
      <c r="H24" s="52" t="s">
        <v>30</v>
      </c>
    </row>
    <row r="25" spans="1:8" s="39" customFormat="1" ht="21.75" customHeight="1">
      <c r="A25" s="55" t="s">
        <v>34</v>
      </c>
      <c r="B25" s="56" t="s">
        <v>35</v>
      </c>
      <c r="C25" s="57">
        <v>2058.562548680191</v>
      </c>
      <c r="D25" s="57">
        <v>0</v>
      </c>
      <c r="E25" s="58">
        <v>2232.92</v>
      </c>
      <c r="F25" s="58">
        <v>2655.7799999999997</v>
      </c>
      <c r="G25" s="157">
        <v>40.46544</v>
      </c>
      <c r="H25" s="59">
        <f>E25-F25</f>
        <v>-422.8599999999997</v>
      </c>
    </row>
    <row r="26" spans="1:8" s="30" customFormat="1" ht="18">
      <c r="A26" s="60" t="s">
        <v>36</v>
      </c>
      <c r="B26" s="61" t="s">
        <v>37</v>
      </c>
      <c r="C26" s="62">
        <v>307.33275</v>
      </c>
      <c r="D26" s="62"/>
      <c r="E26" s="63">
        <v>643.666</v>
      </c>
      <c r="F26" s="63">
        <v>765.65</v>
      </c>
      <c r="G26" s="63">
        <v>12.301740000000002</v>
      </c>
      <c r="H26" s="64">
        <f>E26-F26</f>
        <v>-121.98399999999992</v>
      </c>
    </row>
    <row r="27" spans="1:8" s="30" customFormat="1" ht="14.25" customHeight="1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30" customFormat="1" ht="15.7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30" customFormat="1" ht="29.2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30" customFormat="1" ht="15.7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30" customFormat="1" ht="15.7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30" customFormat="1" ht="15.7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30" customFormat="1" ht="15.7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30" customFormat="1" ht="15.7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30" customFormat="1" ht="15.7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30" customFormat="1" ht="15.7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30" customFormat="1" ht="15.7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30" customFormat="1" ht="15.7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30" customFormat="1" ht="15.7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30" customFormat="1" ht="15.7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30" customFormat="1" ht="15.7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30" customFormat="1" ht="15.7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30" customFormat="1" ht="15.7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30" customFormat="1" ht="15.7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30" customFormat="1" ht="15.7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30" customFormat="1" ht="15.7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30" customFormat="1" ht="15.7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30" customFormat="1" ht="27" customHeight="1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30" customFormat="1" ht="15.7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30" customFormat="1" ht="18">
      <c r="A50" s="75" t="s">
        <v>82</v>
      </c>
      <c r="B50" s="76" t="s">
        <v>83</v>
      </c>
      <c r="C50" s="62">
        <v>1751.2297986801912</v>
      </c>
      <c r="D50" s="62">
        <v>0</v>
      </c>
      <c r="E50" s="63">
        <v>1589.2540000000001</v>
      </c>
      <c r="F50" s="63">
        <v>1890.1299999999999</v>
      </c>
      <c r="G50" s="63">
        <v>28.163700000000002</v>
      </c>
      <c r="H50" s="64">
        <f aca="true" t="shared" si="0" ref="H50:H62">E50-F50</f>
        <v>-300.87599999999975</v>
      </c>
    </row>
    <row r="51" spans="1:8" ht="15">
      <c r="A51" s="77" t="s">
        <v>84</v>
      </c>
      <c r="B51" s="78" t="s">
        <v>85</v>
      </c>
      <c r="C51" s="79">
        <v>483.9667513349774</v>
      </c>
      <c r="D51" s="80"/>
      <c r="E51" s="73">
        <v>248.229</v>
      </c>
      <c r="F51" s="73">
        <v>295.32</v>
      </c>
      <c r="G51" s="81">
        <v>4.5041400000000005</v>
      </c>
      <c r="H51" s="82">
        <f t="shared" si="0"/>
        <v>-47.09099999999998</v>
      </c>
    </row>
    <row r="52" spans="1:8" ht="15">
      <c r="A52" s="77" t="s">
        <v>86</v>
      </c>
      <c r="B52" s="78" t="s">
        <v>87</v>
      </c>
      <c r="C52" s="79">
        <v>0</v>
      </c>
      <c r="D52" s="80"/>
      <c r="E52" s="73"/>
      <c r="F52" s="73"/>
      <c r="G52" s="81">
        <v>0</v>
      </c>
      <c r="H52" s="82">
        <f t="shared" si="0"/>
        <v>0</v>
      </c>
    </row>
    <row r="53" spans="1:8" ht="15">
      <c r="A53" s="77" t="s">
        <v>88</v>
      </c>
      <c r="B53" s="78" t="s">
        <v>89</v>
      </c>
      <c r="C53" s="79">
        <v>51.52508467678525</v>
      </c>
      <c r="D53" s="80"/>
      <c r="E53" s="73">
        <v>50.413</v>
      </c>
      <c r="F53" s="73">
        <v>60.02</v>
      </c>
      <c r="G53" s="81">
        <v>0.9182700000000001</v>
      </c>
      <c r="H53" s="82">
        <f t="shared" si="0"/>
        <v>-9.607000000000006</v>
      </c>
    </row>
    <row r="54" spans="1:8" ht="15">
      <c r="A54" s="77" t="s">
        <v>90</v>
      </c>
      <c r="B54" s="78" t="s">
        <v>91</v>
      </c>
      <c r="C54" s="79">
        <v>216.95179358053463</v>
      </c>
      <c r="D54" s="80"/>
      <c r="E54" s="73">
        <v>207.679</v>
      </c>
      <c r="F54" s="73">
        <v>246.99</v>
      </c>
      <c r="G54" s="81">
        <v>3.6730800000000006</v>
      </c>
      <c r="H54" s="82">
        <f t="shared" si="0"/>
        <v>-39.31100000000001</v>
      </c>
    </row>
    <row r="55" spans="1:8" ht="31.5" customHeight="1">
      <c r="A55" s="77" t="s">
        <v>92</v>
      </c>
      <c r="B55" s="78" t="s">
        <v>93</v>
      </c>
      <c r="C55" s="79">
        <v>436.4771195671745</v>
      </c>
      <c r="D55" s="80"/>
      <c r="E55" s="73">
        <v>546.871</v>
      </c>
      <c r="F55" s="73">
        <v>650.4</v>
      </c>
      <c r="G55" s="81">
        <v>9.495629999999998</v>
      </c>
      <c r="H55" s="82">
        <f t="shared" si="0"/>
        <v>-103.529</v>
      </c>
    </row>
    <row r="56" spans="1:8" ht="15">
      <c r="A56" s="77" t="s">
        <v>94</v>
      </c>
      <c r="B56" s="78" t="s">
        <v>95</v>
      </c>
      <c r="C56" s="79">
        <v>330.10873299131816</v>
      </c>
      <c r="D56" s="80"/>
      <c r="E56" s="73">
        <v>298.642</v>
      </c>
      <c r="F56" s="73">
        <v>355.08</v>
      </c>
      <c r="G56" s="81">
        <v>5.65326</v>
      </c>
      <c r="H56" s="82">
        <f t="shared" si="0"/>
        <v>-56.43799999999999</v>
      </c>
    </row>
    <row r="57" spans="1:8" ht="15">
      <c r="A57" s="77" t="s">
        <v>96</v>
      </c>
      <c r="B57" s="78" t="s">
        <v>97</v>
      </c>
      <c r="C57" s="79">
        <v>8.393018833104856</v>
      </c>
      <c r="D57" s="80"/>
      <c r="E57" s="73">
        <v>12.055</v>
      </c>
      <c r="F57" s="73">
        <v>14.34</v>
      </c>
      <c r="G57" s="81">
        <v>0.22059000000000004</v>
      </c>
      <c r="H57" s="82">
        <f t="shared" si="0"/>
        <v>-2.285</v>
      </c>
    </row>
    <row r="58" spans="1:8" s="30" customFormat="1" ht="15.75">
      <c r="A58" s="77" t="s">
        <v>98</v>
      </c>
      <c r="B58" s="78" t="s">
        <v>99</v>
      </c>
      <c r="C58" s="79">
        <v>203.2888812608365</v>
      </c>
      <c r="D58" s="80"/>
      <c r="E58" s="73">
        <v>197.268</v>
      </c>
      <c r="F58" s="73">
        <v>234.51</v>
      </c>
      <c r="G58" s="81">
        <v>3.662820000000001</v>
      </c>
      <c r="H58" s="82">
        <f t="shared" si="0"/>
        <v>-37.24199999999999</v>
      </c>
    </row>
    <row r="59" spans="1:8" s="30" customFormat="1" ht="15.7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s="30" customFormat="1" ht="15.7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30" customFormat="1" ht="29.25">
      <c r="A61" s="77" t="s">
        <v>104</v>
      </c>
      <c r="B61" s="78" t="s">
        <v>105</v>
      </c>
      <c r="C61" s="79">
        <v>2.0357585970113843</v>
      </c>
      <c r="D61" s="80"/>
      <c r="E61" s="73">
        <v>2.191</v>
      </c>
      <c r="F61" s="73">
        <v>2.66</v>
      </c>
      <c r="G61" s="81">
        <v>0.035910000000000004</v>
      </c>
      <c r="H61" s="82">
        <f t="shared" si="0"/>
        <v>-0.4690000000000003</v>
      </c>
    </row>
    <row r="62" spans="1:8" s="30" customFormat="1" ht="16.5" thickBot="1">
      <c r="A62" s="83" t="s">
        <v>106</v>
      </c>
      <c r="B62" s="84" t="s">
        <v>107</v>
      </c>
      <c r="C62" s="85">
        <v>18.48265783844833</v>
      </c>
      <c r="D62" s="86"/>
      <c r="E62" s="87">
        <v>25.906</v>
      </c>
      <c r="F62" s="87">
        <v>30.81</v>
      </c>
      <c r="G62" s="88">
        <v>0</v>
      </c>
      <c r="H62" s="244">
        <f t="shared" si="0"/>
        <v>-4.904</v>
      </c>
    </row>
    <row r="63" spans="1:8" ht="46.5" hidden="1" thickBot="1" thickTop="1">
      <c r="A63" s="90" t="s">
        <v>108</v>
      </c>
      <c r="B63" s="91" t="s">
        <v>109</v>
      </c>
      <c r="C63" s="92">
        <v>470.61899</v>
      </c>
      <c r="D63" s="93"/>
      <c r="E63" s="245" t="s">
        <v>110</v>
      </c>
      <c r="F63" s="245"/>
      <c r="G63" s="245"/>
      <c r="H63" s="246"/>
    </row>
    <row r="64" spans="1:8" s="8" customFormat="1" ht="18.75" thickTop="1">
      <c r="A64" s="96" t="s">
        <v>111</v>
      </c>
      <c r="B64" s="97" t="s">
        <v>112</v>
      </c>
      <c r="C64" s="98">
        <v>3070.2652986677554</v>
      </c>
      <c r="D64" s="98"/>
      <c r="E64" s="97">
        <v>2917.8111400000003</v>
      </c>
      <c r="F64" s="97">
        <v>3252.42389</v>
      </c>
      <c r="G64" s="97">
        <v>31.52898</v>
      </c>
      <c r="H64" s="247">
        <f>E64-F64</f>
        <v>-334.6127499999998</v>
      </c>
    </row>
    <row r="65" spans="1:8" ht="15">
      <c r="A65" s="101"/>
      <c r="B65" s="116" t="s">
        <v>113</v>
      </c>
      <c r="C65" s="103">
        <v>1801.4748773242343</v>
      </c>
      <c r="D65" s="103"/>
      <c r="E65" s="229">
        <v>1727.0975</v>
      </c>
      <c r="F65" s="229">
        <v>2012.926</v>
      </c>
      <c r="G65" s="81">
        <v>31.52898</v>
      </c>
      <c r="H65" s="179">
        <f>E65-F65</f>
        <v>-285.82849999999985</v>
      </c>
    </row>
    <row r="66" spans="1:8" ht="15">
      <c r="A66" s="101"/>
      <c r="B66" s="116" t="s">
        <v>114</v>
      </c>
      <c r="C66" s="103">
        <v>343.73396723292757</v>
      </c>
      <c r="D66" s="103"/>
      <c r="E66" s="229">
        <v>322.58182</v>
      </c>
      <c r="F66" s="229">
        <v>333.081</v>
      </c>
      <c r="G66" s="119"/>
      <c r="H66" s="179">
        <f>E66-F66</f>
        <v>-10.499180000000024</v>
      </c>
    </row>
    <row r="67" spans="1:8" ht="15">
      <c r="A67" s="101"/>
      <c r="B67" s="116" t="s">
        <v>115</v>
      </c>
      <c r="C67" s="103">
        <v>301.3665066858617</v>
      </c>
      <c r="D67" s="103"/>
      <c r="E67" s="229">
        <v>282.8215</v>
      </c>
      <c r="F67" s="229">
        <v>291.937</v>
      </c>
      <c r="G67" s="119"/>
      <c r="H67" s="179">
        <f>E67-F67</f>
        <v>-9.115499999999997</v>
      </c>
    </row>
    <row r="68" spans="1:8" ht="15">
      <c r="A68" s="101"/>
      <c r="B68" s="116" t="s">
        <v>116</v>
      </c>
      <c r="C68" s="103">
        <v>403.52697290932593</v>
      </c>
      <c r="D68" s="103"/>
      <c r="E68" s="229">
        <v>378.69538</v>
      </c>
      <c r="F68" s="229">
        <v>391.431</v>
      </c>
      <c r="G68" s="119"/>
      <c r="H68" s="179">
        <f>E68-F68</f>
        <v>-12.735619999999983</v>
      </c>
    </row>
    <row r="69" spans="1:8" ht="15.75" thickBot="1">
      <c r="A69" s="105"/>
      <c r="B69" s="174" t="s">
        <v>117</v>
      </c>
      <c r="C69" s="107">
        <v>220.162974515406</v>
      </c>
      <c r="D69" s="107"/>
      <c r="E69" s="230">
        <v>206.61494</v>
      </c>
      <c r="F69" s="230">
        <v>223.04889</v>
      </c>
      <c r="G69" s="231"/>
      <c r="H69" s="232">
        <f>(9521.17+4098.4684)/1000</f>
        <v>13.6196384</v>
      </c>
    </row>
    <row r="70" spans="1:8" ht="19.5" thickBot="1" thickTop="1">
      <c r="A70" s="175" t="s">
        <v>118</v>
      </c>
      <c r="B70" s="248" t="s">
        <v>119</v>
      </c>
      <c r="C70" s="111">
        <v>5128.827847347946</v>
      </c>
      <c r="D70" s="111"/>
      <c r="E70" s="166">
        <v>5150.73114</v>
      </c>
      <c r="F70" s="166">
        <v>5908.20389</v>
      </c>
      <c r="G70" s="166">
        <v>71.99442</v>
      </c>
      <c r="H70" s="168">
        <f>H25+H64</f>
        <v>-757.4727499999995</v>
      </c>
    </row>
    <row r="71" spans="1:8" ht="19.5" thickBot="1" thickTop="1">
      <c r="A71" s="175" t="s">
        <v>120</v>
      </c>
      <c r="B71" s="248" t="s">
        <v>121</v>
      </c>
      <c r="C71" s="111">
        <v>12160.0416</v>
      </c>
      <c r="D71" s="111"/>
      <c r="E71" s="166">
        <v>198.43738</v>
      </c>
      <c r="F71" s="166">
        <v>244.28592</v>
      </c>
      <c r="G71" s="166">
        <v>12160.0416</v>
      </c>
      <c r="H71" s="168">
        <f>E71-F71</f>
        <v>-45.848540000000014</v>
      </c>
    </row>
    <row r="72" spans="1:8" ht="15.75" thickTop="1">
      <c r="A72" s="115"/>
      <c r="B72" s="116" t="s">
        <v>122</v>
      </c>
      <c r="C72" s="103"/>
      <c r="D72" s="103"/>
      <c r="E72" s="81">
        <v>139.62435</v>
      </c>
      <c r="F72" s="81">
        <v>163.62383</v>
      </c>
      <c r="G72" s="117"/>
      <c r="H72" s="179">
        <f>E72-F72</f>
        <v>-23.999480000000005</v>
      </c>
    </row>
    <row r="73" spans="1:8" ht="15">
      <c r="A73" s="115"/>
      <c r="B73" s="116" t="s">
        <v>123</v>
      </c>
      <c r="C73" s="118"/>
      <c r="D73" s="118"/>
      <c r="E73" s="81">
        <v>58.81303</v>
      </c>
      <c r="F73" s="81">
        <v>80.66209</v>
      </c>
      <c r="G73" s="119"/>
      <c r="H73" s="179">
        <f>E73-F73</f>
        <v>-21.84906000000001</v>
      </c>
    </row>
    <row r="74" spans="1:8" ht="29.25" thickBot="1">
      <c r="A74" s="120"/>
      <c r="B74" s="121" t="s">
        <v>124</v>
      </c>
      <c r="C74" s="122"/>
      <c r="D74" s="123"/>
      <c r="E74" s="124">
        <v>314.185</v>
      </c>
      <c r="F74" s="125" t="s">
        <v>110</v>
      </c>
      <c r="G74" s="126"/>
      <c r="H74" s="127"/>
    </row>
    <row r="75" spans="1:8" ht="32.25" thickBot="1" thickTop="1">
      <c r="A75" s="109" t="s">
        <v>125</v>
      </c>
      <c r="B75" s="110" t="s">
        <v>126</v>
      </c>
      <c r="C75" s="114">
        <v>1195.77791</v>
      </c>
      <c r="D75" s="114"/>
      <c r="E75" s="234">
        <v>1195.77791</v>
      </c>
      <c r="F75" s="234">
        <v>877.18648</v>
      </c>
      <c r="G75" s="234"/>
      <c r="H75" s="235">
        <f>E75-F75</f>
        <v>318.59143000000006</v>
      </c>
    </row>
    <row r="76" spans="1:8" ht="15" customHeight="1" thickTop="1">
      <c r="A76" s="128" t="s">
        <v>127</v>
      </c>
      <c r="B76" s="129" t="s">
        <v>128</v>
      </c>
      <c r="C76" s="129"/>
      <c r="D76" s="129"/>
      <c r="E76" s="129"/>
      <c r="F76" s="129"/>
      <c r="G76" s="130">
        <f>G77+G78+G79</f>
        <v>559.4977700000006</v>
      </c>
      <c r="H76" s="130"/>
    </row>
    <row r="77" spans="1:8" ht="15" collapsed="1">
      <c r="A77" s="131"/>
      <c r="B77" s="132" t="s">
        <v>129</v>
      </c>
      <c r="C77" s="132"/>
      <c r="D77" s="132"/>
      <c r="E77" s="132"/>
      <c r="F77" s="132"/>
      <c r="G77" s="133">
        <f>E20+H25</f>
        <v>355.8300000000004</v>
      </c>
      <c r="H77" s="133"/>
    </row>
    <row r="78" spans="1:8" ht="15" collapsed="1">
      <c r="A78" s="131"/>
      <c r="B78" s="132" t="s">
        <v>130</v>
      </c>
      <c r="C78" s="132"/>
      <c r="D78" s="132"/>
      <c r="E78" s="132"/>
      <c r="F78" s="132"/>
      <c r="G78" s="133">
        <f>E21+H64</f>
        <v>192.47725000000025</v>
      </c>
      <c r="H78" s="133"/>
    </row>
    <row r="79" spans="1:8" ht="15">
      <c r="A79" s="131"/>
      <c r="B79" s="132" t="s">
        <v>131</v>
      </c>
      <c r="C79" s="132"/>
      <c r="D79" s="132"/>
      <c r="E79" s="132"/>
      <c r="F79" s="132"/>
      <c r="G79" s="133">
        <f>E22+H72</f>
        <v>11.190519999999992</v>
      </c>
      <c r="H79" s="133"/>
    </row>
    <row r="80" ht="8.25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30"/>
    </row>
    <row r="82" spans="2:8" ht="18">
      <c r="B82" s="135" t="s">
        <v>134</v>
      </c>
      <c r="C82" s="135"/>
      <c r="D82" s="135"/>
      <c r="E82" s="135"/>
      <c r="F82" s="135"/>
      <c r="G82" s="135"/>
      <c r="H82" s="30"/>
    </row>
    <row r="90" spans="1:8" s="30" customFormat="1" ht="15">
      <c r="A90" s="134"/>
      <c r="B90" s="2"/>
      <c r="C90" s="2"/>
      <c r="D90" s="2"/>
      <c r="E90" s="2"/>
      <c r="F90" s="2"/>
      <c r="G90" s="2"/>
      <c r="H90" s="2"/>
    </row>
    <row r="91" spans="1:8" s="30" customFormat="1" ht="15">
      <c r="A91" s="134"/>
      <c r="B91" s="2"/>
      <c r="C91" s="2"/>
      <c r="D91" s="2"/>
      <c r="E91" s="2"/>
      <c r="F91" s="2"/>
      <c r="G91" s="2"/>
      <c r="H91" s="2"/>
    </row>
    <row r="93" spans="1:8" s="136" customFormat="1" ht="16.5">
      <c r="A93" s="134"/>
      <c r="B93" s="2"/>
      <c r="C93" s="2"/>
      <c r="D93" s="2"/>
      <c r="E93" s="2"/>
      <c r="F93" s="2"/>
      <c r="G93" s="2"/>
      <c r="H93" s="2"/>
    </row>
    <row r="94" spans="1:8" s="137" customFormat="1" ht="14.25">
      <c r="A94" s="134"/>
      <c r="B94" s="2"/>
      <c r="C94" s="2"/>
      <c r="D94" s="2"/>
      <c r="E94" s="2"/>
      <c r="F94" s="2"/>
      <c r="G94" s="2"/>
      <c r="H94" s="2"/>
    </row>
    <row r="95" spans="1:8" s="137" customFormat="1" ht="14.25">
      <c r="A95" s="134"/>
      <c r="B95" s="2"/>
      <c r="C95" s="2"/>
      <c r="D95" s="2"/>
      <c r="E95" s="2"/>
      <c r="F95" s="2"/>
      <c r="G95" s="2"/>
      <c r="H95" s="2"/>
    </row>
    <row r="96" spans="1:8" s="137" customFormat="1" ht="14.25">
      <c r="A96" s="134"/>
      <c r="B96" s="2"/>
      <c r="C96" s="2"/>
      <c r="D96" s="2"/>
      <c r="E96" s="2"/>
      <c r="F96" s="2"/>
      <c r="G96" s="2"/>
      <c r="H96" s="2"/>
    </row>
    <row r="97" spans="1:8" s="137" customFormat="1" ht="14.25">
      <c r="A97" s="134"/>
      <c r="B97" s="2"/>
      <c r="C97" s="2"/>
      <c r="D97" s="2"/>
      <c r="E97" s="2"/>
      <c r="F97" s="2"/>
      <c r="G97" s="2"/>
      <c r="H97" s="2"/>
    </row>
    <row r="98" spans="1:8" s="137" customFormat="1" ht="14.25">
      <c r="A98" s="134"/>
      <c r="B98" s="2"/>
      <c r="C98" s="2"/>
      <c r="D98" s="2"/>
      <c r="E98" s="2"/>
      <c r="F98" s="2"/>
      <c r="G98" s="2"/>
      <c r="H98" s="2"/>
    </row>
    <row r="99" spans="1:8" s="138" customFormat="1" ht="14.25">
      <c r="A99" s="134"/>
      <c r="B99" s="2"/>
      <c r="C99" s="2"/>
      <c r="D99" s="2"/>
      <c r="E99" s="2"/>
      <c r="F99" s="2"/>
      <c r="G99" s="2"/>
      <c r="H99" s="2"/>
    </row>
    <row r="100" spans="1:8" s="138" customFormat="1" ht="14.25">
      <c r="A100" s="134"/>
      <c r="B100" s="2"/>
      <c r="C100" s="2"/>
      <c r="D100" s="2"/>
      <c r="E100" s="2"/>
      <c r="F100" s="2"/>
      <c r="G100" s="2"/>
      <c r="H100" s="2"/>
    </row>
    <row r="101" spans="1:8" s="30" customFormat="1" ht="15">
      <c r="A101" s="134"/>
      <c r="B101" s="2"/>
      <c r="C101" s="2"/>
      <c r="D101" s="2"/>
      <c r="E101" s="2"/>
      <c r="F101" s="2"/>
      <c r="G101" s="2"/>
      <c r="H101" s="2"/>
    </row>
    <row r="102" spans="1:8" s="139" customFormat="1" ht="16.5">
      <c r="A102" s="134"/>
      <c r="B102" s="2"/>
      <c r="C102" s="2"/>
      <c r="D102" s="2"/>
      <c r="E102" s="2"/>
      <c r="F102" s="2"/>
      <c r="G102" s="2"/>
      <c r="H102" s="2"/>
    </row>
    <row r="103" spans="1:8" s="137" customFormat="1" ht="14.25">
      <c r="A103" s="134"/>
      <c r="B103" s="2"/>
      <c r="C103" s="2"/>
      <c r="D103" s="2"/>
      <c r="E103" s="2"/>
      <c r="F103" s="2"/>
      <c r="G103" s="2"/>
      <c r="H103" s="2"/>
    </row>
    <row r="104" spans="1:8" s="137" customFormat="1" ht="14.25">
      <c r="A104" s="134"/>
      <c r="B104" s="2"/>
      <c r="C104" s="2"/>
      <c r="D104" s="2"/>
      <c r="E104" s="2"/>
      <c r="F104" s="2"/>
      <c r="G104" s="2"/>
      <c r="H104" s="2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  <rowBreaks count="1" manualBreakCount="1">
    <brk id="8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5.28125" style="140" customWidth="1"/>
    <col min="3" max="3" width="15.00390625" style="140" customWidth="1"/>
    <col min="4" max="4" width="9.421875" style="140" customWidth="1"/>
    <col min="5" max="5" width="16.57421875" style="140" customWidth="1"/>
    <col min="6" max="6" width="27.421875" style="140" customWidth="1"/>
    <col min="7" max="7" width="22.421875" style="140" customWidth="1"/>
    <col min="8" max="8" width="22.5742187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>
        <f>D17</f>
        <v>7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>
        <v>7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559.56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385.76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159.41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14.39</v>
      </c>
      <c r="F22" s="8" t="s">
        <v>20</v>
      </c>
      <c r="G22" s="30"/>
    </row>
    <row r="23" spans="1:8" s="149" customFormat="1" ht="93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2517.740099367601</v>
      </c>
      <c r="D25" s="57">
        <v>0</v>
      </c>
      <c r="E25" s="58">
        <v>2641.2889999999998</v>
      </c>
      <c r="F25" s="58">
        <v>2664.5200000000004</v>
      </c>
      <c r="G25" s="157">
        <v>47.00073</v>
      </c>
      <c r="H25" s="59">
        <f>E25-F25</f>
        <v>-23.231000000000677</v>
      </c>
    </row>
    <row r="26" spans="1:8" s="143" customFormat="1" ht="18">
      <c r="A26" s="60" t="s">
        <v>36</v>
      </c>
      <c r="B26" s="61" t="s">
        <v>37</v>
      </c>
      <c r="C26" s="62">
        <v>447.88728</v>
      </c>
      <c r="D26" s="62"/>
      <c r="E26" s="63">
        <v>451.678</v>
      </c>
      <c r="F26" s="63">
        <v>455.62</v>
      </c>
      <c r="G26" s="63">
        <v>8.157869999999999</v>
      </c>
      <c r="H26" s="64">
        <f>E26-F26</f>
        <v>-3.9420000000000073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2069.852819367601</v>
      </c>
      <c r="D50" s="62">
        <v>0</v>
      </c>
      <c r="E50" s="63">
        <v>2189.611</v>
      </c>
      <c r="F50" s="63">
        <v>2208.9000000000005</v>
      </c>
      <c r="G50" s="63">
        <v>38.84286</v>
      </c>
      <c r="H50" s="64">
        <f aca="true" t="shared" si="0" ref="H50:H62">E50-F50</f>
        <v>-19.28900000000067</v>
      </c>
    </row>
    <row r="51" spans="1:8" ht="15">
      <c r="A51" s="77" t="s">
        <v>84</v>
      </c>
      <c r="B51" s="78" t="s">
        <v>85</v>
      </c>
      <c r="C51" s="79">
        <v>290.788703420462</v>
      </c>
      <c r="D51" s="80"/>
      <c r="E51" s="73">
        <v>149.147</v>
      </c>
      <c r="F51" s="73">
        <v>150.55</v>
      </c>
      <c r="G51" s="81">
        <v>2.61786</v>
      </c>
      <c r="H51" s="82">
        <f t="shared" si="0"/>
        <v>-1.40300000000002</v>
      </c>
    </row>
    <row r="52" spans="1:8" s="158" customFormat="1" ht="15">
      <c r="A52" s="77" t="s">
        <v>86</v>
      </c>
      <c r="B52" s="78" t="s">
        <v>87</v>
      </c>
      <c r="C52" s="79">
        <v>319.80352761162396</v>
      </c>
      <c r="D52" s="80"/>
      <c r="E52" s="73">
        <v>406.718</v>
      </c>
      <c r="F52" s="73">
        <v>410.34</v>
      </c>
      <c r="G52" s="81">
        <v>7.428539999999999</v>
      </c>
      <c r="H52" s="82">
        <f t="shared" si="0"/>
        <v>-3.6219999999999573</v>
      </c>
    </row>
    <row r="53" spans="1:8" s="159" customFormat="1" ht="16.5">
      <c r="A53" s="77" t="s">
        <v>88</v>
      </c>
      <c r="B53" s="78" t="s">
        <v>89</v>
      </c>
      <c r="C53" s="79">
        <v>63.78571022540793</v>
      </c>
      <c r="D53" s="80"/>
      <c r="E53" s="73">
        <v>62.409</v>
      </c>
      <c r="F53" s="73">
        <v>62.88</v>
      </c>
      <c r="G53" s="81">
        <v>1.1060699999999999</v>
      </c>
      <c r="H53" s="82">
        <f t="shared" si="0"/>
        <v>-0.47100000000000364</v>
      </c>
    </row>
    <row r="54" spans="1:8" s="160" customFormat="1" ht="15">
      <c r="A54" s="77" t="s">
        <v>90</v>
      </c>
      <c r="B54" s="78" t="s">
        <v>91</v>
      </c>
      <c r="C54" s="79">
        <v>209.400021298341</v>
      </c>
      <c r="D54" s="80"/>
      <c r="E54" s="73">
        <v>200.45</v>
      </c>
      <c r="F54" s="73">
        <v>202.24</v>
      </c>
      <c r="G54" s="81">
        <v>3.45828</v>
      </c>
      <c r="H54" s="82">
        <f t="shared" si="0"/>
        <v>-1.7900000000000205</v>
      </c>
    </row>
    <row r="55" spans="1:8" ht="27.75" customHeight="1">
      <c r="A55" s="77" t="s">
        <v>92</v>
      </c>
      <c r="B55" s="78" t="s">
        <v>93</v>
      </c>
      <c r="C55" s="79">
        <v>794.4440515024135</v>
      </c>
      <c r="D55" s="80"/>
      <c r="E55" s="73">
        <v>995.375</v>
      </c>
      <c r="F55" s="73">
        <v>1003.99</v>
      </c>
      <c r="G55" s="81">
        <v>17.441129999999998</v>
      </c>
      <c r="H55" s="82">
        <f t="shared" si="0"/>
        <v>-8.615000000000009</v>
      </c>
    </row>
    <row r="56" spans="1:8" ht="15">
      <c r="A56" s="77" t="s">
        <v>94</v>
      </c>
      <c r="B56" s="78" t="s">
        <v>95</v>
      </c>
      <c r="C56" s="79">
        <v>233.84792904361842</v>
      </c>
      <c r="D56" s="80"/>
      <c r="E56" s="73">
        <v>211.557</v>
      </c>
      <c r="F56" s="73">
        <v>213.43</v>
      </c>
      <c r="G56" s="81">
        <v>3.8978099999999998</v>
      </c>
      <c r="H56" s="82">
        <f t="shared" si="0"/>
        <v>-1.8730000000000189</v>
      </c>
    </row>
    <row r="57" spans="1:8" ht="17.25" customHeight="1">
      <c r="A57" s="77" t="s">
        <v>96</v>
      </c>
      <c r="B57" s="78" t="s">
        <v>97</v>
      </c>
      <c r="C57" s="79">
        <v>22.8299859441179</v>
      </c>
      <c r="D57" s="80"/>
      <c r="E57" s="73">
        <v>32.791</v>
      </c>
      <c r="F57" s="73">
        <v>33.31</v>
      </c>
      <c r="G57" s="81">
        <v>0.5892599999999999</v>
      </c>
      <c r="H57" s="82">
        <f t="shared" si="0"/>
        <v>-0.5190000000000055</v>
      </c>
    </row>
    <row r="58" spans="1:8" ht="15">
      <c r="A58" s="77" t="s">
        <v>98</v>
      </c>
      <c r="B58" s="78" t="s">
        <v>99</v>
      </c>
      <c r="C58" s="79">
        <v>132.987746810581</v>
      </c>
      <c r="D58" s="80"/>
      <c r="E58" s="73">
        <v>129.049</v>
      </c>
      <c r="F58" s="73">
        <v>130.03</v>
      </c>
      <c r="G58" s="81">
        <v>2.2700999999999993</v>
      </c>
      <c r="H58" s="82">
        <f t="shared" si="0"/>
        <v>-0.9809999999999945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1.965143511035636</v>
      </c>
      <c r="D61" s="80"/>
      <c r="E61" s="73">
        <v>2.115</v>
      </c>
      <c r="F61" s="73">
        <v>2.13</v>
      </c>
      <c r="G61" s="81">
        <v>0.03381</v>
      </c>
      <c r="H61" s="82">
        <f t="shared" si="0"/>
        <v>-0.01499999999999968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15.890590000000032</v>
      </c>
      <c r="D63" s="93"/>
      <c r="E63" s="94" t="s">
        <v>110</v>
      </c>
      <c r="F63" s="94"/>
      <c r="G63" s="163">
        <v>4.0283505129829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3066.529346310787</v>
      </c>
      <c r="D64" s="111"/>
      <c r="E64" s="167">
        <v>2899.07086</v>
      </c>
      <c r="F64" s="167">
        <v>2752.28538</v>
      </c>
      <c r="G64" s="167">
        <v>29.68518</v>
      </c>
      <c r="H64" s="168">
        <f>E64-F64</f>
        <v>146.78548</v>
      </c>
    </row>
    <row r="65" spans="1:8" ht="15.75" thickTop="1">
      <c r="A65" s="169"/>
      <c r="B65" s="170" t="s">
        <v>113</v>
      </c>
      <c r="C65" s="171">
        <v>1727.0587416914236</v>
      </c>
      <c r="D65" s="171"/>
      <c r="E65" s="172">
        <v>1642.02644</v>
      </c>
      <c r="F65" s="172">
        <v>1615.484</v>
      </c>
      <c r="G65" s="163">
        <v>29.68518</v>
      </c>
      <c r="H65" s="173">
        <f>E65-F65</f>
        <v>26.54244000000017</v>
      </c>
    </row>
    <row r="66" spans="1:8" ht="15">
      <c r="A66" s="101"/>
      <c r="B66" s="116" t="s">
        <v>114</v>
      </c>
      <c r="C66" s="103">
        <v>348.4311339103268</v>
      </c>
      <c r="D66" s="103"/>
      <c r="E66" s="73">
        <v>326.98994</v>
      </c>
      <c r="F66" s="73">
        <v>314.935</v>
      </c>
      <c r="G66" s="81"/>
      <c r="H66" s="104">
        <f>E66-F66</f>
        <v>12.054939999999988</v>
      </c>
    </row>
    <row r="67" spans="1:8" ht="15">
      <c r="A67" s="101"/>
      <c r="B67" s="116" t="s">
        <v>115</v>
      </c>
      <c r="C67" s="103">
        <v>303.9437936179231</v>
      </c>
      <c r="D67" s="103"/>
      <c r="E67" s="73">
        <v>285.24019</v>
      </c>
      <c r="F67" s="73">
        <v>275.545</v>
      </c>
      <c r="G67" s="81"/>
      <c r="H67" s="104">
        <f>E67-F67</f>
        <v>9.695189999999968</v>
      </c>
    </row>
    <row r="68" spans="1:8" ht="15">
      <c r="A68" s="101"/>
      <c r="B68" s="116" t="s">
        <v>116</v>
      </c>
      <c r="C68" s="103">
        <v>408.3964211735245</v>
      </c>
      <c r="D68" s="103"/>
      <c r="E68" s="73">
        <v>383.26518</v>
      </c>
      <c r="F68" s="73">
        <v>368.709</v>
      </c>
      <c r="G68" s="81"/>
      <c r="H68" s="104">
        <f>E68-F68</f>
        <v>14.556179999999983</v>
      </c>
    </row>
    <row r="69" spans="1:8" ht="15.75" thickBot="1">
      <c r="A69" s="105"/>
      <c r="B69" s="174" t="s">
        <v>117</v>
      </c>
      <c r="C69" s="107">
        <v>278.6992559175882</v>
      </c>
      <c r="D69" s="107"/>
      <c r="E69" s="87">
        <v>261.54911</v>
      </c>
      <c r="F69" s="87">
        <v>177.61238</v>
      </c>
      <c r="G69" s="88"/>
      <c r="H69" s="108">
        <f>46.35872+3.52336</f>
        <v>49.882079999999995</v>
      </c>
    </row>
    <row r="70" spans="1:8" ht="20.25" customHeight="1" thickBot="1" thickTop="1">
      <c r="A70" s="175" t="s">
        <v>118</v>
      </c>
      <c r="B70" s="166" t="s">
        <v>119</v>
      </c>
      <c r="C70" s="111">
        <v>5584.269445678388</v>
      </c>
      <c r="D70" s="111"/>
      <c r="E70" s="166">
        <v>5540.35986</v>
      </c>
      <c r="F70" s="166">
        <v>5416.80538</v>
      </c>
      <c r="G70" s="166">
        <v>76.68590999999999</v>
      </c>
      <c r="H70" s="168">
        <f>H25+H64</f>
        <v>123.55447999999933</v>
      </c>
    </row>
    <row r="71" spans="1:8" ht="19.5" thickBot="1" thickTop="1">
      <c r="A71" s="165" t="s">
        <v>120</v>
      </c>
      <c r="B71" s="166" t="s">
        <v>121</v>
      </c>
      <c r="C71" s="111"/>
      <c r="D71" s="111"/>
      <c r="E71" s="166">
        <v>140.37708</v>
      </c>
      <c r="F71" s="166">
        <v>140.52463</v>
      </c>
      <c r="G71" s="166">
        <v>0</v>
      </c>
      <c r="H71" s="168">
        <f>E71-F71</f>
        <v>-0.1475499999999954</v>
      </c>
    </row>
    <row r="72" spans="1:8" ht="15.75" thickTop="1">
      <c r="A72" s="176"/>
      <c r="B72" s="170" t="s">
        <v>122</v>
      </c>
      <c r="C72" s="177"/>
      <c r="D72" s="177"/>
      <c r="E72" s="117">
        <v>140.37708</v>
      </c>
      <c r="F72" s="117">
        <v>140.52463</v>
      </c>
      <c r="G72" s="117"/>
      <c r="H72" s="104">
        <f>E72-F72</f>
        <v>-0.1475499999999954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430.275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19.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682.9669299999993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362.5289999999993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306.19548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14.242450000000005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theme="5" tint="0.5999900102615356"/>
  </sheetPr>
  <dimension ref="A1:H104"/>
  <sheetViews>
    <sheetView zoomScaleSheetLayoutView="80" zoomScalePageLayoutView="0" workbookViewId="0" topLeftCell="A1">
      <selection activeCell="E74" sqref="E74"/>
    </sheetView>
  </sheetViews>
  <sheetFormatPr defaultColWidth="9.140625" defaultRowHeight="15"/>
  <cols>
    <col min="1" max="1" width="8.57421875" style="187" customWidth="1"/>
    <col min="2" max="2" width="54.421875" style="140" customWidth="1"/>
    <col min="3" max="3" width="15.00390625" style="140" customWidth="1"/>
    <col min="4" max="4" width="9.421875" style="140" customWidth="1"/>
    <col min="5" max="5" width="17.57421875" style="140" customWidth="1"/>
    <col min="6" max="6" width="27.421875" style="140" customWidth="1"/>
    <col min="7" max="7" width="22.421875" style="140" customWidth="1"/>
    <col min="8" max="8" width="25.8515625" style="140" hidden="1" customWidth="1"/>
    <col min="9" max="16384" width="9.140625" style="14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s="141" customFormat="1" ht="15.75">
      <c r="A2" s="3"/>
      <c r="B2" s="4" t="s">
        <v>1</v>
      </c>
      <c r="C2" s="5" t="s">
        <v>2</v>
      </c>
      <c r="D2" s="5" t="str">
        <f>B17</f>
        <v>Комсомольская</v>
      </c>
      <c r="E2" s="5"/>
      <c r="F2" s="5" t="s">
        <v>3</v>
      </c>
      <c r="G2" s="7" t="str">
        <f>D17</f>
        <v>7а</v>
      </c>
      <c r="H2" s="5"/>
    </row>
    <row r="3" spans="1:8" ht="35.25" customHeight="1">
      <c r="A3" s="9" t="s">
        <v>135</v>
      </c>
      <c r="B3" s="9"/>
      <c r="C3" s="9"/>
      <c r="D3" s="9"/>
      <c r="E3" s="9"/>
      <c r="F3" s="9"/>
      <c r="G3" s="9"/>
      <c r="H3" s="9"/>
    </row>
    <row r="4" spans="1:8" ht="38.25" customHeight="1">
      <c r="A4" s="10" t="s">
        <v>5</v>
      </c>
      <c r="B4" s="10" t="s">
        <v>6</v>
      </c>
      <c r="C4" s="11" t="s">
        <v>7</v>
      </c>
      <c r="D4" s="12" t="s">
        <v>136</v>
      </c>
      <c r="E4" s="13"/>
      <c r="F4" s="14"/>
      <c r="G4" s="11" t="s">
        <v>9</v>
      </c>
      <c r="H4" s="10" t="s">
        <v>9</v>
      </c>
    </row>
    <row r="5" spans="1:8" ht="14.25">
      <c r="A5" s="15">
        <v>1</v>
      </c>
      <c r="B5" s="15"/>
      <c r="C5" s="16"/>
      <c r="D5" s="17"/>
      <c r="E5" s="18"/>
      <c r="F5" s="18"/>
      <c r="G5" s="19"/>
      <c r="H5" s="15"/>
    </row>
    <row r="6" spans="1:8" ht="14.25">
      <c r="A6" s="15">
        <v>2</v>
      </c>
      <c r="B6" s="15"/>
      <c r="C6" s="16"/>
      <c r="D6" s="17"/>
      <c r="E6" s="18"/>
      <c r="F6" s="18"/>
      <c r="G6" s="19"/>
      <c r="H6" s="15"/>
    </row>
    <row r="7" spans="1:8" ht="14.25">
      <c r="A7" s="15">
        <v>3</v>
      </c>
      <c r="B7" s="15"/>
      <c r="C7" s="16"/>
      <c r="D7" s="17"/>
      <c r="E7" s="18"/>
      <c r="F7" s="18"/>
      <c r="G7" s="19"/>
      <c r="H7" s="15"/>
    </row>
    <row r="8" spans="1:8" ht="14.2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4.25" customHeight="1">
      <c r="A9" s="21"/>
      <c r="B9" s="21"/>
      <c r="C9" s="21"/>
      <c r="D9" s="21"/>
      <c r="E9" s="21"/>
      <c r="F9" s="21"/>
      <c r="G9" s="21"/>
      <c r="H9" s="21"/>
    </row>
    <row r="10" spans="1:8" ht="20.25">
      <c r="A10" s="22" t="s">
        <v>11</v>
      </c>
      <c r="B10" s="22"/>
      <c r="C10" s="22"/>
      <c r="D10" s="23"/>
      <c r="E10" s="23"/>
      <c r="F10" s="23"/>
      <c r="G10" s="24"/>
      <c r="H10" s="25"/>
    </row>
    <row r="11" spans="1:8" ht="14.25" customHeight="1">
      <c r="A11" s="26" t="s">
        <v>137</v>
      </c>
      <c r="B11" s="26"/>
      <c r="C11" s="26"/>
      <c r="D11" s="26"/>
      <c r="E11" s="26"/>
      <c r="F11" s="26"/>
      <c r="G11" s="26"/>
      <c r="H11" s="26"/>
    </row>
    <row r="12" spans="1:8" ht="14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customHeight="1">
      <c r="A13" s="26"/>
      <c r="B13" s="26"/>
      <c r="C13" s="26"/>
      <c r="D13" s="26"/>
      <c r="E13" s="26"/>
      <c r="F13" s="26"/>
      <c r="G13" s="26"/>
      <c r="H13" s="26"/>
    </row>
    <row r="14" spans="1:8" ht="10.5" customHeight="1">
      <c r="A14" s="142" t="s">
        <v>138</v>
      </c>
      <c r="B14" s="142"/>
      <c r="C14" s="142"/>
      <c r="D14" s="142"/>
      <c r="E14" s="142"/>
      <c r="F14" s="142"/>
      <c r="G14" s="142"/>
      <c r="H14" s="142"/>
    </row>
    <row r="15" spans="1:8" ht="20.25" collapsed="1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8" s="143" customFormat="1" ht="18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145" customFormat="1" ht="18">
      <c r="A17" s="31" t="s">
        <v>16</v>
      </c>
      <c r="B17" s="32" t="s">
        <v>148</v>
      </c>
      <c r="C17" s="31" t="s">
        <v>3</v>
      </c>
      <c r="D17" s="31" t="s">
        <v>151</v>
      </c>
      <c r="E17" s="31" t="s">
        <v>18</v>
      </c>
      <c r="F17" s="31"/>
      <c r="G17" s="31"/>
      <c r="H17" s="144"/>
    </row>
    <row r="18" spans="1:7" s="141" customFormat="1" ht="10.5" customHeight="1">
      <c r="A18" s="35"/>
      <c r="B18" s="36"/>
      <c r="C18" s="8"/>
      <c r="D18" s="8"/>
      <c r="E18" s="8"/>
      <c r="F18" s="8"/>
      <c r="G18" s="8"/>
    </row>
    <row r="19" spans="1:7" s="141" customFormat="1" ht="18">
      <c r="A19" s="35"/>
      <c r="B19" s="37" t="s">
        <v>19</v>
      </c>
      <c r="C19" s="8"/>
      <c r="D19" s="8"/>
      <c r="E19" s="38">
        <f>E20+E21+E22</f>
        <v>1086.9699999999998</v>
      </c>
      <c r="F19" s="39" t="s">
        <v>20</v>
      </c>
      <c r="G19" s="8"/>
    </row>
    <row r="20" spans="1:7" s="141" customFormat="1" ht="18">
      <c r="A20" s="35"/>
      <c r="B20" s="8" t="s">
        <v>21</v>
      </c>
      <c r="C20" s="8"/>
      <c r="D20" s="8"/>
      <c r="E20" s="146">
        <v>651.75</v>
      </c>
      <c r="F20" s="8" t="s">
        <v>20</v>
      </c>
      <c r="G20" s="8"/>
    </row>
    <row r="21" spans="1:7" s="141" customFormat="1" ht="18">
      <c r="A21" s="41"/>
      <c r="B21" s="8" t="s">
        <v>22</v>
      </c>
      <c r="C21" s="8"/>
      <c r="D21" s="8"/>
      <c r="E21" s="146">
        <v>404.1</v>
      </c>
      <c r="F21" s="8" t="s">
        <v>20</v>
      </c>
      <c r="G21" s="8"/>
    </row>
    <row r="22" spans="1:7" s="143" customFormat="1" ht="18">
      <c r="A22" s="42"/>
      <c r="B22" s="8" t="s">
        <v>23</v>
      </c>
      <c r="C22" s="43"/>
      <c r="D22" s="43"/>
      <c r="E22" s="146">
        <v>31.12</v>
      </c>
      <c r="F22" s="8" t="s">
        <v>20</v>
      </c>
      <c r="G22" s="30"/>
    </row>
    <row r="23" spans="1:8" s="149" customFormat="1" ht="79.5" customHeight="1">
      <c r="A23" s="147" t="s">
        <v>24</v>
      </c>
      <c r="B23" s="148" t="s">
        <v>25</v>
      </c>
      <c r="C23" s="45" t="s">
        <v>140</v>
      </c>
      <c r="D23" s="46"/>
      <c r="E23" s="47" t="s">
        <v>27</v>
      </c>
      <c r="F23" s="45" t="s">
        <v>141</v>
      </c>
      <c r="G23" s="46"/>
      <c r="H23" s="47" t="s">
        <v>29</v>
      </c>
    </row>
    <row r="24" spans="1:8" s="143" customFormat="1" ht="31.5" customHeight="1">
      <c r="A24" s="150"/>
      <c r="B24" s="151"/>
      <c r="C24" s="152" t="s">
        <v>30</v>
      </c>
      <c r="D24" s="153"/>
      <c r="E24" s="154" t="s">
        <v>31</v>
      </c>
      <c r="F24" s="155" t="s">
        <v>32</v>
      </c>
      <c r="G24" s="156" t="s">
        <v>33</v>
      </c>
      <c r="H24" s="154" t="s">
        <v>30</v>
      </c>
    </row>
    <row r="25" spans="1:8" s="143" customFormat="1" ht="21.75" customHeight="1">
      <c r="A25" s="55" t="s">
        <v>34</v>
      </c>
      <c r="B25" s="56" t="s">
        <v>35</v>
      </c>
      <c r="C25" s="57">
        <v>3320.1542040995523</v>
      </c>
      <c r="D25" s="57">
        <v>0</v>
      </c>
      <c r="E25" s="58">
        <v>4002.478</v>
      </c>
      <c r="F25" s="58">
        <v>3960.6100000000006</v>
      </c>
      <c r="G25" s="157">
        <v>9.481886399999999</v>
      </c>
      <c r="H25" s="59">
        <f>E25-F25</f>
        <v>41.86799999999948</v>
      </c>
    </row>
    <row r="26" spans="1:8" s="143" customFormat="1" ht="18">
      <c r="A26" s="60" t="s">
        <v>36</v>
      </c>
      <c r="B26" s="61" t="s">
        <v>37</v>
      </c>
      <c r="C26" s="62">
        <v>196.06812</v>
      </c>
      <c r="D26" s="62"/>
      <c r="E26" s="63">
        <v>697.638</v>
      </c>
      <c r="F26" s="63">
        <v>677.27</v>
      </c>
      <c r="G26" s="63">
        <v>1.6457615999999997</v>
      </c>
      <c r="H26" s="64">
        <f>E26-F26</f>
        <v>20.368000000000052</v>
      </c>
    </row>
    <row r="27" spans="1:8" s="143" customFormat="1" ht="26.25" hidden="1">
      <c r="A27" s="65"/>
      <c r="B27" s="66" t="s">
        <v>38</v>
      </c>
      <c r="C27" s="67" t="s">
        <v>39</v>
      </c>
      <c r="D27" s="67" t="s">
        <v>40</v>
      </c>
      <c r="E27" s="68"/>
      <c r="F27" s="68"/>
      <c r="G27" s="68"/>
      <c r="H27" s="69"/>
    </row>
    <row r="28" spans="1:8" s="143" customFormat="1" ht="15" hidden="1">
      <c r="A28" s="70" t="s">
        <v>41</v>
      </c>
      <c r="B28" s="71" t="s">
        <v>42</v>
      </c>
      <c r="C28" s="72"/>
      <c r="D28" s="72"/>
      <c r="E28" s="73"/>
      <c r="F28" s="73"/>
      <c r="G28" s="73"/>
      <c r="H28" s="74"/>
    </row>
    <row r="29" spans="1:8" s="143" customFormat="1" ht="28.5" hidden="1">
      <c r="A29" s="70" t="s">
        <v>43</v>
      </c>
      <c r="B29" s="71" t="s">
        <v>44</v>
      </c>
      <c r="C29" s="72"/>
      <c r="D29" s="72"/>
      <c r="E29" s="73"/>
      <c r="F29" s="73"/>
      <c r="G29" s="73"/>
      <c r="H29" s="74"/>
    </row>
    <row r="30" spans="1:8" s="143" customFormat="1" ht="15" hidden="1">
      <c r="A30" s="70" t="s">
        <v>45</v>
      </c>
      <c r="B30" s="71" t="s">
        <v>46</v>
      </c>
      <c r="C30" s="72"/>
      <c r="D30" s="72"/>
      <c r="E30" s="73"/>
      <c r="F30" s="73"/>
      <c r="G30" s="73"/>
      <c r="H30" s="74"/>
    </row>
    <row r="31" spans="1:8" s="143" customFormat="1" ht="15" hidden="1">
      <c r="A31" s="70" t="s">
        <v>47</v>
      </c>
      <c r="B31" s="71" t="s">
        <v>48</v>
      </c>
      <c r="C31" s="72"/>
      <c r="D31" s="72"/>
      <c r="E31" s="73"/>
      <c r="F31" s="73"/>
      <c r="G31" s="73"/>
      <c r="H31" s="74"/>
    </row>
    <row r="32" spans="1:8" s="143" customFormat="1" ht="15" hidden="1">
      <c r="A32" s="70" t="s">
        <v>49</v>
      </c>
      <c r="B32" s="71" t="s">
        <v>50</v>
      </c>
      <c r="C32" s="72"/>
      <c r="D32" s="72"/>
      <c r="E32" s="73"/>
      <c r="F32" s="73"/>
      <c r="G32" s="73"/>
      <c r="H32" s="74"/>
    </row>
    <row r="33" spans="1:8" s="143" customFormat="1" ht="15" hidden="1">
      <c r="A33" s="70" t="s">
        <v>51</v>
      </c>
      <c r="B33" s="71" t="s">
        <v>52</v>
      </c>
      <c r="C33" s="72"/>
      <c r="D33" s="72"/>
      <c r="E33" s="73"/>
      <c r="F33" s="73"/>
      <c r="G33" s="73"/>
      <c r="H33" s="74"/>
    </row>
    <row r="34" spans="1:8" s="143" customFormat="1" ht="15" hidden="1">
      <c r="A34" s="70" t="s">
        <v>53</v>
      </c>
      <c r="B34" s="71" t="s">
        <v>54</v>
      </c>
      <c r="C34" s="72"/>
      <c r="D34" s="72"/>
      <c r="E34" s="73"/>
      <c r="F34" s="73"/>
      <c r="G34" s="73"/>
      <c r="H34" s="74"/>
    </row>
    <row r="35" spans="1:8" s="143" customFormat="1" ht="15" hidden="1">
      <c r="A35" s="70" t="s">
        <v>55</v>
      </c>
      <c r="B35" s="71" t="s">
        <v>56</v>
      </c>
      <c r="C35" s="72"/>
      <c r="D35" s="72"/>
      <c r="E35" s="73"/>
      <c r="F35" s="73"/>
      <c r="G35" s="73"/>
      <c r="H35" s="74"/>
    </row>
    <row r="36" spans="1:8" s="143" customFormat="1" ht="15" hidden="1">
      <c r="A36" s="70" t="s">
        <v>57</v>
      </c>
      <c r="B36" s="71" t="s">
        <v>58</v>
      </c>
      <c r="C36" s="72"/>
      <c r="D36" s="72"/>
      <c r="E36" s="73"/>
      <c r="F36" s="73"/>
      <c r="G36" s="73"/>
      <c r="H36" s="74"/>
    </row>
    <row r="37" spans="1:8" s="143" customFormat="1" ht="15" hidden="1">
      <c r="A37" s="70"/>
      <c r="B37" s="71" t="s">
        <v>59</v>
      </c>
      <c r="C37" s="72"/>
      <c r="D37" s="72"/>
      <c r="E37" s="73"/>
      <c r="F37" s="73"/>
      <c r="G37" s="73"/>
      <c r="H37" s="74"/>
    </row>
    <row r="38" spans="1:8" s="143" customFormat="1" ht="15" hidden="1">
      <c r="A38" s="70"/>
      <c r="B38" s="71" t="s">
        <v>60</v>
      </c>
      <c r="C38" s="72"/>
      <c r="D38" s="72"/>
      <c r="E38" s="73"/>
      <c r="F38" s="73"/>
      <c r="G38" s="73"/>
      <c r="H38" s="74"/>
    </row>
    <row r="39" spans="1:8" s="143" customFormat="1" ht="15" hidden="1">
      <c r="A39" s="70"/>
      <c r="B39" s="71" t="s">
        <v>61</v>
      </c>
      <c r="C39" s="72"/>
      <c r="D39" s="72"/>
      <c r="E39" s="73"/>
      <c r="F39" s="73"/>
      <c r="G39" s="73"/>
      <c r="H39" s="74"/>
    </row>
    <row r="40" spans="1:8" s="143" customFormat="1" ht="15" hidden="1">
      <c r="A40" s="70" t="s">
        <v>62</v>
      </c>
      <c r="B40" s="71" t="s">
        <v>63</v>
      </c>
      <c r="C40" s="72"/>
      <c r="D40" s="72"/>
      <c r="E40" s="73"/>
      <c r="F40" s="73"/>
      <c r="G40" s="73"/>
      <c r="H40" s="74"/>
    </row>
    <row r="41" spans="1:8" s="143" customFormat="1" ht="15" hidden="1">
      <c r="A41" s="70" t="s">
        <v>64</v>
      </c>
      <c r="B41" s="71" t="s">
        <v>65</v>
      </c>
      <c r="C41" s="72"/>
      <c r="D41" s="72"/>
      <c r="E41" s="73"/>
      <c r="F41" s="73"/>
      <c r="G41" s="73"/>
      <c r="H41" s="74"/>
    </row>
    <row r="42" spans="1:8" s="143" customFormat="1" ht="15" hidden="1">
      <c r="A42" s="70" t="s">
        <v>66</v>
      </c>
      <c r="B42" s="71" t="s">
        <v>67</v>
      </c>
      <c r="C42" s="72"/>
      <c r="D42" s="72"/>
      <c r="E42" s="73"/>
      <c r="F42" s="73"/>
      <c r="G42" s="73"/>
      <c r="H42" s="74"/>
    </row>
    <row r="43" spans="1:8" s="143" customFormat="1" ht="15" hidden="1">
      <c r="A43" s="70" t="s">
        <v>68</v>
      </c>
      <c r="B43" s="71" t="s">
        <v>69</v>
      </c>
      <c r="C43" s="72"/>
      <c r="D43" s="72"/>
      <c r="E43" s="73"/>
      <c r="F43" s="73"/>
      <c r="G43" s="73"/>
      <c r="H43" s="74"/>
    </row>
    <row r="44" spans="1:8" s="143" customFormat="1" ht="15" hidden="1">
      <c r="A44" s="70" t="s">
        <v>70</v>
      </c>
      <c r="B44" s="71" t="s">
        <v>71</v>
      </c>
      <c r="C44" s="72"/>
      <c r="D44" s="72"/>
      <c r="E44" s="73"/>
      <c r="F44" s="73"/>
      <c r="G44" s="73"/>
      <c r="H44" s="74"/>
    </row>
    <row r="45" spans="1:8" s="143" customFormat="1" ht="15" hidden="1">
      <c r="A45" s="70" t="s">
        <v>72</v>
      </c>
      <c r="B45" s="71" t="s">
        <v>73</v>
      </c>
      <c r="C45" s="72"/>
      <c r="D45" s="72"/>
      <c r="E45" s="73"/>
      <c r="F45" s="73"/>
      <c r="G45" s="73"/>
      <c r="H45" s="74"/>
    </row>
    <row r="46" spans="1:8" s="143" customFormat="1" ht="28.5" hidden="1">
      <c r="A46" s="70" t="s">
        <v>74</v>
      </c>
      <c r="B46" s="71" t="s">
        <v>75</v>
      </c>
      <c r="C46" s="72"/>
      <c r="D46" s="72"/>
      <c r="E46" s="73"/>
      <c r="F46" s="73"/>
      <c r="G46" s="73"/>
      <c r="H46" s="74"/>
    </row>
    <row r="47" spans="1:8" s="143" customFormat="1" ht="15" hidden="1">
      <c r="A47" s="70" t="s">
        <v>76</v>
      </c>
      <c r="B47" s="71" t="s">
        <v>77</v>
      </c>
      <c r="C47" s="72"/>
      <c r="D47" s="72"/>
      <c r="E47" s="73"/>
      <c r="F47" s="73"/>
      <c r="G47" s="73"/>
      <c r="H47" s="74"/>
    </row>
    <row r="48" spans="1:8" s="143" customFormat="1" ht="42.75" hidden="1">
      <c r="A48" s="70" t="s">
        <v>78</v>
      </c>
      <c r="B48" s="71" t="s">
        <v>79</v>
      </c>
      <c r="C48" s="72"/>
      <c r="D48" s="72"/>
      <c r="E48" s="73"/>
      <c r="F48" s="73"/>
      <c r="G48" s="73"/>
      <c r="H48" s="74"/>
    </row>
    <row r="49" spans="1:8" s="143" customFormat="1" ht="15" hidden="1">
      <c r="A49" s="70" t="s">
        <v>80</v>
      </c>
      <c r="B49" s="71" t="s">
        <v>81</v>
      </c>
      <c r="C49" s="72"/>
      <c r="D49" s="72"/>
      <c r="E49" s="73"/>
      <c r="F49" s="73"/>
      <c r="G49" s="73"/>
      <c r="H49" s="74"/>
    </row>
    <row r="50" spans="1:8" s="143" customFormat="1" ht="18">
      <c r="A50" s="75" t="s">
        <v>82</v>
      </c>
      <c r="B50" s="76" t="s">
        <v>83</v>
      </c>
      <c r="C50" s="62">
        <v>3124.0860840995524</v>
      </c>
      <c r="D50" s="62">
        <v>0</v>
      </c>
      <c r="E50" s="63">
        <v>3304.84</v>
      </c>
      <c r="F50" s="63">
        <v>3283.3400000000006</v>
      </c>
      <c r="G50" s="63">
        <v>7.836124799999999</v>
      </c>
      <c r="H50" s="64">
        <f aca="true" t="shared" si="0" ref="H50:H62">E50-F50</f>
        <v>21.499999999999545</v>
      </c>
    </row>
    <row r="51" spans="1:8" ht="15">
      <c r="A51" s="77" t="s">
        <v>84</v>
      </c>
      <c r="B51" s="78" t="s">
        <v>85</v>
      </c>
      <c r="C51" s="79">
        <v>438.8960328024503</v>
      </c>
      <c r="D51" s="80"/>
      <c r="E51" s="73">
        <v>225.112</v>
      </c>
      <c r="F51" s="73">
        <v>223.77</v>
      </c>
      <c r="G51" s="81">
        <v>0.5281248</v>
      </c>
      <c r="H51" s="82">
        <f t="shared" si="0"/>
        <v>1.3419999999999845</v>
      </c>
    </row>
    <row r="52" spans="1:8" s="158" customFormat="1" ht="15">
      <c r="A52" s="77" t="s">
        <v>86</v>
      </c>
      <c r="B52" s="78" t="s">
        <v>87</v>
      </c>
      <c r="C52" s="79">
        <v>482.6877381747245</v>
      </c>
      <c r="D52" s="80"/>
      <c r="E52" s="73">
        <v>613.87</v>
      </c>
      <c r="F52" s="73">
        <v>609.93</v>
      </c>
      <c r="G52" s="81">
        <v>1.4986271999999998</v>
      </c>
      <c r="H52" s="82">
        <f t="shared" si="0"/>
        <v>3.9400000000000546</v>
      </c>
    </row>
    <row r="53" spans="1:8" s="159" customFormat="1" ht="16.5">
      <c r="A53" s="77" t="s">
        <v>88</v>
      </c>
      <c r="B53" s="78" t="s">
        <v>89</v>
      </c>
      <c r="C53" s="79">
        <v>96.27391498650076</v>
      </c>
      <c r="D53" s="80"/>
      <c r="E53" s="73">
        <v>94.196</v>
      </c>
      <c r="F53" s="73">
        <v>93.47</v>
      </c>
      <c r="G53" s="81">
        <v>0.22313759999999996</v>
      </c>
      <c r="H53" s="82">
        <f t="shared" si="0"/>
        <v>0.7259999999999991</v>
      </c>
    </row>
    <row r="54" spans="1:8" s="160" customFormat="1" ht="15">
      <c r="A54" s="77" t="s">
        <v>90</v>
      </c>
      <c r="B54" s="78" t="s">
        <v>91</v>
      </c>
      <c r="C54" s="79">
        <v>316.05248213362574</v>
      </c>
      <c r="D54" s="80"/>
      <c r="E54" s="73">
        <v>302.544</v>
      </c>
      <c r="F54" s="73">
        <v>300.61</v>
      </c>
      <c r="G54" s="81">
        <v>0.6976703999999999</v>
      </c>
      <c r="H54" s="82">
        <f t="shared" si="0"/>
        <v>1.933999999999969</v>
      </c>
    </row>
    <row r="55" spans="1:8" ht="30" customHeight="1">
      <c r="A55" s="77" t="s">
        <v>92</v>
      </c>
      <c r="B55" s="78" t="s">
        <v>93</v>
      </c>
      <c r="C55" s="79">
        <v>1199.0763656335514</v>
      </c>
      <c r="D55" s="80"/>
      <c r="E55" s="73">
        <v>1502.347</v>
      </c>
      <c r="F55" s="73">
        <v>1492.36</v>
      </c>
      <c r="G55" s="81">
        <v>3.5185583999999994</v>
      </c>
      <c r="H55" s="82">
        <f t="shared" si="0"/>
        <v>9.98700000000008</v>
      </c>
    </row>
    <row r="56" spans="1:8" ht="15">
      <c r="A56" s="77" t="s">
        <v>94</v>
      </c>
      <c r="B56" s="78" t="s">
        <v>95</v>
      </c>
      <c r="C56" s="79">
        <v>352.9522281326532</v>
      </c>
      <c r="D56" s="80"/>
      <c r="E56" s="73">
        <v>319.308</v>
      </c>
      <c r="F56" s="73">
        <v>317.24</v>
      </c>
      <c r="G56" s="81">
        <v>0.7863407999999998</v>
      </c>
      <c r="H56" s="82">
        <f t="shared" si="0"/>
        <v>2.0679999999999836</v>
      </c>
    </row>
    <row r="57" spans="1:8" ht="17.25" customHeight="1">
      <c r="A57" s="77" t="s">
        <v>96</v>
      </c>
      <c r="B57" s="78" t="s">
        <v>97</v>
      </c>
      <c r="C57" s="79">
        <v>34.457676324182955</v>
      </c>
      <c r="D57" s="80"/>
      <c r="E57" s="73">
        <v>49.492</v>
      </c>
      <c r="F57" s="73">
        <v>49.51</v>
      </c>
      <c r="G57" s="81">
        <v>0.11887679999999996</v>
      </c>
      <c r="H57" s="82">
        <f t="shared" si="0"/>
        <v>-0.018000000000000682</v>
      </c>
    </row>
    <row r="58" spans="1:8" ht="15">
      <c r="A58" s="77" t="s">
        <v>98</v>
      </c>
      <c r="B58" s="78" t="s">
        <v>99</v>
      </c>
      <c r="C58" s="79">
        <v>200.72288315501353</v>
      </c>
      <c r="D58" s="80"/>
      <c r="E58" s="73">
        <v>194.778</v>
      </c>
      <c r="F58" s="73">
        <v>193.28</v>
      </c>
      <c r="G58" s="81">
        <v>0.4579679999999999</v>
      </c>
      <c r="H58" s="82">
        <f t="shared" si="0"/>
        <v>1.4979999999999905</v>
      </c>
    </row>
    <row r="59" spans="1:8" ht="15">
      <c r="A59" s="77" t="s">
        <v>100</v>
      </c>
      <c r="B59" s="78" t="s">
        <v>101</v>
      </c>
      <c r="C59" s="79">
        <v>0</v>
      </c>
      <c r="D59" s="80"/>
      <c r="E59" s="73"/>
      <c r="F59" s="73"/>
      <c r="G59" s="81">
        <v>0</v>
      </c>
      <c r="H59" s="82">
        <f t="shared" si="0"/>
        <v>0</v>
      </c>
    </row>
    <row r="60" spans="1:8" ht="28.5" hidden="1">
      <c r="A60" s="77" t="s">
        <v>102</v>
      </c>
      <c r="B60" s="78" t="s">
        <v>103</v>
      </c>
      <c r="C60" s="79"/>
      <c r="D60" s="80"/>
      <c r="E60" s="73"/>
      <c r="F60" s="73"/>
      <c r="G60" s="81"/>
      <c r="H60" s="82">
        <f t="shared" si="0"/>
        <v>0</v>
      </c>
    </row>
    <row r="61" spans="1:8" s="143" customFormat="1" ht="28.5">
      <c r="A61" s="77" t="s">
        <v>104</v>
      </c>
      <c r="B61" s="78" t="s">
        <v>105</v>
      </c>
      <c r="C61" s="79">
        <v>2.9667627568495436</v>
      </c>
      <c r="D61" s="80"/>
      <c r="E61" s="73">
        <v>3.193</v>
      </c>
      <c r="F61" s="73">
        <v>3.17</v>
      </c>
      <c r="G61" s="81">
        <v>0.006820799999999999</v>
      </c>
      <c r="H61" s="82">
        <f t="shared" si="0"/>
        <v>0.02300000000000013</v>
      </c>
    </row>
    <row r="62" spans="1:8" s="143" customFormat="1" ht="15.75" thickBot="1">
      <c r="A62" s="83" t="s">
        <v>106</v>
      </c>
      <c r="B62" s="84" t="s">
        <v>107</v>
      </c>
      <c r="C62" s="85">
        <v>0</v>
      </c>
      <c r="D62" s="86"/>
      <c r="E62" s="87"/>
      <c r="F62" s="87"/>
      <c r="G62" s="88">
        <v>0</v>
      </c>
      <c r="H62" s="89">
        <f t="shared" si="0"/>
        <v>0</v>
      </c>
    </row>
    <row r="63" spans="1:8" s="143" customFormat="1" ht="46.5" hidden="1" thickBot="1" thickTop="1">
      <c r="A63" s="161" t="s">
        <v>108</v>
      </c>
      <c r="B63" s="162" t="s">
        <v>109</v>
      </c>
      <c r="C63" s="92">
        <v>482.8476416</v>
      </c>
      <c r="D63" s="93"/>
      <c r="E63" s="94" t="s">
        <v>110</v>
      </c>
      <c r="F63" s="94"/>
      <c r="G63" s="163">
        <v>0.8126759295756807</v>
      </c>
      <c r="H63" s="164"/>
    </row>
    <row r="64" spans="1:8" ht="19.5" thickBot="1" thickTop="1">
      <c r="A64" s="165" t="s">
        <v>111</v>
      </c>
      <c r="B64" s="166" t="s">
        <v>112</v>
      </c>
      <c r="C64" s="111">
        <v>4451.273087341117</v>
      </c>
      <c r="D64" s="111"/>
      <c r="E64" s="167">
        <v>4268.5037600000005</v>
      </c>
      <c r="F64" s="167">
        <v>4051.3486999999996</v>
      </c>
      <c r="G64" s="167">
        <v>5.988662399999999</v>
      </c>
      <c r="H64" s="168">
        <f>E64-F64</f>
        <v>217.15506000000096</v>
      </c>
    </row>
    <row r="65" spans="1:8" ht="15.75" thickTop="1">
      <c r="A65" s="169"/>
      <c r="B65" s="170" t="s">
        <v>113</v>
      </c>
      <c r="C65" s="171">
        <v>2552.813424398653</v>
      </c>
      <c r="D65" s="171"/>
      <c r="E65" s="172">
        <v>2486.86845</v>
      </c>
      <c r="F65" s="172">
        <v>2413.426</v>
      </c>
      <c r="G65" s="163">
        <v>5.988662399999999</v>
      </c>
      <c r="H65" s="173">
        <f>E65-F65</f>
        <v>73.44245000000001</v>
      </c>
    </row>
    <row r="66" spans="1:8" ht="15">
      <c r="A66" s="101"/>
      <c r="B66" s="116" t="s">
        <v>114</v>
      </c>
      <c r="C66" s="103">
        <v>490.02608600959695</v>
      </c>
      <c r="D66" s="103"/>
      <c r="E66" s="73">
        <v>459.87165</v>
      </c>
      <c r="F66" s="73">
        <v>445.294</v>
      </c>
      <c r="G66" s="81"/>
      <c r="H66" s="104">
        <f>E66-F66</f>
        <v>14.577650000000006</v>
      </c>
    </row>
    <row r="67" spans="1:8" ht="15">
      <c r="A67" s="101"/>
      <c r="B67" s="116" t="s">
        <v>115</v>
      </c>
      <c r="C67" s="103">
        <v>423.8806017371116</v>
      </c>
      <c r="D67" s="103"/>
      <c r="E67" s="73">
        <v>397.79652</v>
      </c>
      <c r="F67" s="73">
        <v>385.216</v>
      </c>
      <c r="G67" s="81"/>
      <c r="H67" s="104">
        <f>E67-F67</f>
        <v>12.580519999999979</v>
      </c>
    </row>
    <row r="68" spans="1:8" ht="15">
      <c r="A68" s="101"/>
      <c r="B68" s="116" t="s">
        <v>116</v>
      </c>
      <c r="C68" s="103">
        <v>571.0517423433108</v>
      </c>
      <c r="D68" s="103"/>
      <c r="E68" s="73">
        <v>535.91128</v>
      </c>
      <c r="F68" s="73">
        <v>518.526</v>
      </c>
      <c r="G68" s="81"/>
      <c r="H68" s="104">
        <f>E68-F68</f>
        <v>17.38528000000008</v>
      </c>
    </row>
    <row r="69" spans="1:8" ht="15.75" thickBot="1">
      <c r="A69" s="105"/>
      <c r="B69" s="174" t="s">
        <v>117</v>
      </c>
      <c r="C69" s="107">
        <v>413.50123285244507</v>
      </c>
      <c r="D69" s="107"/>
      <c r="E69" s="87">
        <v>388.05586</v>
      </c>
      <c r="F69" s="87">
        <v>288.8867</v>
      </c>
      <c r="G69" s="88"/>
      <c r="H69" s="108">
        <f>53.45475+8.627364</f>
        <v>62.082114</v>
      </c>
    </row>
    <row r="70" spans="1:8" ht="20.25" customHeight="1" thickBot="1" thickTop="1">
      <c r="A70" s="175" t="s">
        <v>118</v>
      </c>
      <c r="B70" s="166" t="s">
        <v>119</v>
      </c>
      <c r="C70" s="111">
        <v>7771.42729144067</v>
      </c>
      <c r="D70" s="111"/>
      <c r="E70" s="166">
        <v>8270.98176</v>
      </c>
      <c r="F70" s="166">
        <v>8011.9587</v>
      </c>
      <c r="G70" s="166">
        <v>15.470548799999998</v>
      </c>
      <c r="H70" s="168">
        <f>H25+H64</f>
        <v>259.02306000000044</v>
      </c>
    </row>
    <row r="71" spans="1:8" ht="19.5" thickBot="1" thickTop="1">
      <c r="A71" s="165" t="s">
        <v>120</v>
      </c>
      <c r="B71" s="166" t="s">
        <v>121</v>
      </c>
      <c r="C71" s="111">
        <v>9289.37182</v>
      </c>
      <c r="D71" s="111"/>
      <c r="E71" s="166">
        <v>217.41282</v>
      </c>
      <c r="F71" s="166">
        <v>222.18815999999998</v>
      </c>
      <c r="G71" s="166">
        <v>0</v>
      </c>
      <c r="H71" s="168">
        <f>E71-F71</f>
        <v>-4.7753399999999715</v>
      </c>
    </row>
    <row r="72" spans="1:8" ht="15.75" thickTop="1">
      <c r="A72" s="176"/>
      <c r="B72" s="170" t="s">
        <v>122</v>
      </c>
      <c r="C72" s="177"/>
      <c r="D72" s="177"/>
      <c r="E72" s="117">
        <v>217.41282</v>
      </c>
      <c r="F72" s="117">
        <v>222.18815999999998</v>
      </c>
      <c r="G72" s="117"/>
      <c r="H72" s="104">
        <f>E72-F72</f>
        <v>-4.7753399999999715</v>
      </c>
    </row>
    <row r="73" spans="1:8" ht="15">
      <c r="A73" s="115"/>
      <c r="B73" s="116" t="s">
        <v>123</v>
      </c>
      <c r="C73" s="118"/>
      <c r="D73" s="118"/>
      <c r="E73" s="119"/>
      <c r="F73" s="119"/>
      <c r="G73" s="119"/>
      <c r="H73" s="179"/>
    </row>
    <row r="74" spans="1:8" ht="29.25" thickBot="1">
      <c r="A74" s="120"/>
      <c r="B74" s="121" t="s">
        <v>124</v>
      </c>
      <c r="C74" s="122"/>
      <c r="D74" s="123"/>
      <c r="E74" s="124">
        <v>695.329</v>
      </c>
      <c r="F74" s="125" t="s">
        <v>110</v>
      </c>
      <c r="G74" s="126"/>
      <c r="H74" s="127"/>
    </row>
    <row r="75" spans="1:8" ht="36.75" customHeight="1" thickBot="1" thickTop="1">
      <c r="A75" s="109" t="s">
        <v>125</v>
      </c>
      <c r="B75" s="110" t="s">
        <v>126</v>
      </c>
      <c r="C75" s="114">
        <v>0</v>
      </c>
      <c r="D75" s="114"/>
      <c r="E75" s="180"/>
      <c r="F75" s="180"/>
      <c r="G75" s="180"/>
      <c r="H75" s="168">
        <f>E75-F75</f>
        <v>0</v>
      </c>
    </row>
    <row r="76" spans="1:8" ht="21.75" customHeight="1" thickTop="1">
      <c r="A76" s="181" t="s">
        <v>127</v>
      </c>
      <c r="B76" s="182" t="s">
        <v>128</v>
      </c>
      <c r="C76" s="182"/>
      <c r="D76" s="182"/>
      <c r="E76" s="182"/>
      <c r="F76" s="182"/>
      <c r="G76" s="242">
        <f>G77+G78+G79</f>
        <v>1341.2177200000003</v>
      </c>
      <c r="H76" s="242"/>
    </row>
    <row r="77" spans="1:8" ht="15.75" collapsed="1">
      <c r="A77" s="184"/>
      <c r="B77" s="185" t="s">
        <v>129</v>
      </c>
      <c r="C77" s="185"/>
      <c r="D77" s="185"/>
      <c r="E77" s="185"/>
      <c r="F77" s="185"/>
      <c r="G77" s="243">
        <f>E20+H25</f>
        <v>693.6179999999995</v>
      </c>
      <c r="H77" s="243"/>
    </row>
    <row r="78" spans="1:8" ht="15.75" collapsed="1">
      <c r="A78" s="184"/>
      <c r="B78" s="185" t="s">
        <v>130</v>
      </c>
      <c r="C78" s="185"/>
      <c r="D78" s="185"/>
      <c r="E78" s="185"/>
      <c r="F78" s="185"/>
      <c r="G78" s="243">
        <f>E21+H64</f>
        <v>621.255060000001</v>
      </c>
      <c r="H78" s="243"/>
    </row>
    <row r="79" spans="1:8" ht="15.75">
      <c r="A79" s="184"/>
      <c r="B79" s="185" t="s">
        <v>131</v>
      </c>
      <c r="C79" s="185"/>
      <c r="D79" s="185"/>
      <c r="E79" s="185"/>
      <c r="F79" s="185"/>
      <c r="G79" s="243">
        <f>E22+H72</f>
        <v>26.34466000000003</v>
      </c>
      <c r="H79" s="243"/>
    </row>
    <row r="80" ht="6" customHeight="1"/>
    <row r="81" spans="2:8" ht="18">
      <c r="B81" s="135" t="s">
        <v>132</v>
      </c>
      <c r="C81" s="135"/>
      <c r="D81" s="135"/>
      <c r="E81" s="135"/>
      <c r="F81" s="135"/>
      <c r="G81" s="135" t="s">
        <v>133</v>
      </c>
      <c r="H81" s="135"/>
    </row>
    <row r="82" spans="2:8" ht="18">
      <c r="B82" s="135" t="s">
        <v>134</v>
      </c>
      <c r="C82" s="135"/>
      <c r="D82" s="135"/>
      <c r="E82" s="135"/>
      <c r="F82" s="135"/>
      <c r="G82" s="135"/>
      <c r="H82" s="135"/>
    </row>
    <row r="90" spans="1:8" s="143" customFormat="1" ht="14.25">
      <c r="A90" s="187"/>
      <c r="B90" s="140"/>
      <c r="C90" s="140"/>
      <c r="D90" s="140"/>
      <c r="E90" s="140"/>
      <c r="F90" s="140"/>
      <c r="G90" s="140"/>
      <c r="H90" s="140"/>
    </row>
    <row r="91" spans="1:8" s="143" customFormat="1" ht="14.25">
      <c r="A91" s="187"/>
      <c r="B91" s="140"/>
      <c r="C91" s="140"/>
      <c r="D91" s="140"/>
      <c r="E91" s="140"/>
      <c r="F91" s="140"/>
      <c r="G91" s="140"/>
      <c r="H91" s="140"/>
    </row>
    <row r="93" spans="1:8" s="159" customFormat="1" ht="16.5">
      <c r="A93" s="187"/>
      <c r="B93" s="140"/>
      <c r="C93" s="140"/>
      <c r="D93" s="140"/>
      <c r="E93" s="140"/>
      <c r="F93" s="140"/>
      <c r="G93" s="140"/>
      <c r="H93" s="140"/>
    </row>
    <row r="94" spans="1:8" s="188" customFormat="1" ht="14.25">
      <c r="A94" s="187"/>
      <c r="B94" s="140"/>
      <c r="C94" s="140"/>
      <c r="D94" s="140"/>
      <c r="E94" s="140"/>
      <c r="F94" s="140"/>
      <c r="G94" s="140"/>
      <c r="H94" s="140"/>
    </row>
    <row r="95" spans="1:8" s="188" customFormat="1" ht="14.25">
      <c r="A95" s="187"/>
      <c r="B95" s="140"/>
      <c r="C95" s="140"/>
      <c r="D95" s="140"/>
      <c r="E95" s="140"/>
      <c r="F95" s="140"/>
      <c r="G95" s="140"/>
      <c r="H95" s="140"/>
    </row>
    <row r="96" spans="1:8" s="188" customFormat="1" ht="14.25">
      <c r="A96" s="187"/>
      <c r="B96" s="140"/>
      <c r="C96" s="140"/>
      <c r="D96" s="140"/>
      <c r="E96" s="140"/>
      <c r="F96" s="140"/>
      <c r="G96" s="140"/>
      <c r="H96" s="140"/>
    </row>
    <row r="97" spans="1:8" s="188" customFormat="1" ht="14.25">
      <c r="A97" s="187"/>
      <c r="B97" s="140"/>
      <c r="C97" s="140"/>
      <c r="D97" s="140"/>
      <c r="E97" s="140"/>
      <c r="F97" s="140"/>
      <c r="G97" s="140"/>
      <c r="H97" s="140"/>
    </row>
    <row r="98" spans="1:8" s="188" customFormat="1" ht="14.25">
      <c r="A98" s="187"/>
      <c r="B98" s="140"/>
      <c r="C98" s="140"/>
      <c r="D98" s="140"/>
      <c r="E98" s="140"/>
      <c r="F98" s="140"/>
      <c r="G98" s="140"/>
      <c r="H98" s="140"/>
    </row>
    <row r="99" spans="1:8" s="189" customFormat="1" ht="14.25">
      <c r="A99" s="187"/>
      <c r="B99" s="140"/>
      <c r="C99" s="140"/>
      <c r="D99" s="140"/>
      <c r="E99" s="140"/>
      <c r="F99" s="140"/>
      <c r="G99" s="140"/>
      <c r="H99" s="140"/>
    </row>
    <row r="100" spans="1:8" s="189" customFormat="1" ht="14.25">
      <c r="A100" s="187"/>
      <c r="B100" s="140"/>
      <c r="C100" s="140"/>
      <c r="D100" s="140"/>
      <c r="E100" s="140"/>
      <c r="F100" s="140"/>
      <c r="G100" s="140"/>
      <c r="H100" s="140"/>
    </row>
    <row r="101" spans="1:8" s="143" customFormat="1" ht="14.25">
      <c r="A101" s="187"/>
      <c r="B101" s="140"/>
      <c r="C101" s="140"/>
      <c r="D101" s="140"/>
      <c r="E101" s="140"/>
      <c r="F101" s="140"/>
      <c r="G101" s="140"/>
      <c r="H101" s="140"/>
    </row>
    <row r="102" spans="1:8" s="190" customFormat="1" ht="16.5">
      <c r="A102" s="187"/>
      <c r="B102" s="140"/>
      <c r="C102" s="140"/>
      <c r="D102" s="140"/>
      <c r="E102" s="140"/>
      <c r="F102" s="140"/>
      <c r="G102" s="140"/>
      <c r="H102" s="140"/>
    </row>
    <row r="103" spans="1:8" s="188" customFormat="1" ht="14.25">
      <c r="A103" s="187"/>
      <c r="B103" s="140"/>
      <c r="C103" s="140"/>
      <c r="D103" s="140"/>
      <c r="E103" s="140"/>
      <c r="F103" s="140"/>
      <c r="G103" s="140"/>
      <c r="H103" s="140"/>
    </row>
    <row r="104" spans="1:8" s="188" customFormat="1" ht="14.25">
      <c r="A104" s="187"/>
      <c r="B104" s="140"/>
      <c r="C104" s="140"/>
      <c r="D104" s="140"/>
      <c r="E104" s="140"/>
      <c r="F104" s="140"/>
      <c r="G104" s="140"/>
      <c r="H104" s="140"/>
    </row>
  </sheetData>
  <sheetProtection/>
  <mergeCells count="50">
    <mergeCell ref="B77:F77"/>
    <mergeCell ref="G77:H77"/>
    <mergeCell ref="B78:F78"/>
    <mergeCell ref="G78:H78"/>
    <mergeCell ref="B79:F79"/>
    <mergeCell ref="G79:H79"/>
    <mergeCell ref="C72:D72"/>
    <mergeCell ref="C73:D73"/>
    <mergeCell ref="C74:D74"/>
    <mergeCell ref="C75:D75"/>
    <mergeCell ref="B76:F76"/>
    <mergeCell ref="G76:H76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25:D25"/>
    <mergeCell ref="C26:D26"/>
    <mergeCell ref="C50:D50"/>
    <mergeCell ref="C51:D51"/>
    <mergeCell ref="C52:D52"/>
    <mergeCell ref="C53:D53"/>
    <mergeCell ref="A14:H14"/>
    <mergeCell ref="A15:H15"/>
    <mergeCell ref="A16:H16"/>
    <mergeCell ref="A23:A24"/>
    <mergeCell ref="B23:B24"/>
    <mergeCell ref="C23:D23"/>
    <mergeCell ref="F23:G23"/>
    <mergeCell ref="C24:D24"/>
    <mergeCell ref="A1:H1"/>
    <mergeCell ref="A3:H3"/>
    <mergeCell ref="D4:F4"/>
    <mergeCell ref="A8:H9"/>
    <mergeCell ref="A10:C10"/>
    <mergeCell ref="A11:H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"Жилищный трест"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Г. Романко</dc:creator>
  <cp:keywords/>
  <dc:description/>
  <cp:lastModifiedBy>Виктор Г. Романко</cp:lastModifiedBy>
  <dcterms:created xsi:type="dcterms:W3CDTF">2015-04-01T08:00:39Z</dcterms:created>
  <dcterms:modified xsi:type="dcterms:W3CDTF">2015-04-01T08:25:22Z</dcterms:modified>
  <cp:category/>
  <cp:version/>
  <cp:contentType/>
  <cp:contentStatus/>
</cp:coreProperties>
</file>